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firstSheet="2" activeTab="5"/>
  </bookViews>
  <sheets>
    <sheet name="BASICO 2013-TRIM 4" sheetId="1" r:id="rId1"/>
    <sheet name="CONSOLIDADO 2013-TRIM 4" sheetId="2" r:id="rId2"/>
    <sheet name="BASICO 2014-TRIM 1" sheetId="3" r:id="rId3"/>
    <sheet name="CONSOLIDADO 2014-TRIM 1" sheetId="4" r:id="rId4"/>
    <sheet name="BASICO 2014-TRIM 2" sheetId="5" r:id="rId5"/>
    <sheet name="CONSOLIDADO 2014-TRIM 2" sheetId="6" r:id="rId6"/>
  </sheets>
  <externalReferences>
    <externalReference r:id="rId9"/>
  </externalReferences>
  <definedNames>
    <definedName name="_ac93" localSheetId="0">#REF!</definedName>
    <definedName name="_ac93" localSheetId="4">#REF!</definedName>
    <definedName name="_ac93" localSheetId="1">#REF!</definedName>
    <definedName name="_ac93" localSheetId="5">#REF!</definedName>
    <definedName name="_ac93">#REF!</definedName>
    <definedName name="_ac94" localSheetId="0">#REF!</definedName>
    <definedName name="_ac94" localSheetId="4">#REF!</definedName>
    <definedName name="_ac94" localSheetId="1">#REF!</definedName>
    <definedName name="_ac94" localSheetId="5">#REF!</definedName>
    <definedName name="_ac94">#REF!</definedName>
    <definedName name="_pat93" localSheetId="0">#REF!</definedName>
    <definedName name="_pat93" localSheetId="4">#REF!</definedName>
    <definedName name="_pat93" localSheetId="1">#REF!</definedName>
    <definedName name="_pat93" localSheetId="5">#REF!</definedName>
    <definedName name="_pat93">#REF!</definedName>
    <definedName name="_pat94" localSheetId="0">#REF!</definedName>
    <definedName name="_pat94" localSheetId="4">#REF!</definedName>
    <definedName name="_pat94" localSheetId="1">#REF!</definedName>
    <definedName name="_pat94" localSheetId="5">#REF!</definedName>
    <definedName name="_pat94">#REF!</definedName>
    <definedName name="A" localSheetId="0">#REF!</definedName>
    <definedName name="A" localSheetId="4">#REF!</definedName>
    <definedName name="A" localSheetId="1">#REF!</definedName>
    <definedName name="A" localSheetId="5">#REF!</definedName>
    <definedName name="A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Historicos" localSheetId="0">#REF!</definedName>
    <definedName name="Historicos" localSheetId="4">#REF!</definedName>
    <definedName name="Historicos" localSheetId="1">#REF!</definedName>
    <definedName name="Historicos" localSheetId="5">#REF!</definedName>
    <definedName name="Historicos">#REF!</definedName>
    <definedName name="ingresosoperacionales2003">'[1]pg032004'!$C$16</definedName>
    <definedName name="n" localSheetId="0">#REF!</definedName>
    <definedName name="n" localSheetId="4">#REF!</definedName>
    <definedName name="n" localSheetId="1">#REF!</definedName>
    <definedName name="n" localSheetId="5">#REF!</definedName>
    <definedName name="n">#REF!</definedName>
    <definedName name="P" localSheetId="0">#REF!</definedName>
    <definedName name="P" localSheetId="4">#REF!</definedName>
    <definedName name="P" localSheetId="1">#REF!</definedName>
    <definedName name="P" localSheetId="5">#REF!</definedName>
    <definedName name="P">#REF!</definedName>
    <definedName name="PresentationNormalA4" localSheetId="0">#REF!</definedName>
    <definedName name="PresentationNormalA4" localSheetId="4">#REF!</definedName>
    <definedName name="PresentationNormalA4" localSheetId="1">#REF!</definedName>
    <definedName name="PresentationNormalA4" localSheetId="5">#REF!</definedName>
    <definedName name="PresentationNormalA4">#REF!</definedName>
    <definedName name="rate" localSheetId="0">#REF!</definedName>
    <definedName name="rate" localSheetId="4">#REF!</definedName>
    <definedName name="rate" localSheetId="1">#REF!</definedName>
    <definedName name="rate" localSheetId="5">#REF!</definedName>
    <definedName name="rate">#REF!</definedName>
    <definedName name="TestAdd">"Test RefersTo1"</definedName>
    <definedName name="totalactivo" localSheetId="0">#REF!</definedName>
    <definedName name="totalactivo" localSheetId="4">#REF!</definedName>
    <definedName name="totalactivo" localSheetId="1">#REF!</definedName>
    <definedName name="totalactivo" localSheetId="5">#REF!</definedName>
    <definedName name="totalactivo">#REF!</definedName>
    <definedName name="Totalingresoso" localSheetId="0">#REF!</definedName>
    <definedName name="Totalingresoso" localSheetId="4">#REF!</definedName>
    <definedName name="Totalingresoso" localSheetId="1">#REF!</definedName>
    <definedName name="Totalingresoso" localSheetId="5">#REF!</definedName>
    <definedName name="Totalingresoso">#REF!</definedName>
    <definedName name="totalingresosoperacionales">'[1]pg032004'!$B$16</definedName>
  </definedNames>
  <calcPr fullCalcOnLoad="1"/>
</workbook>
</file>

<file path=xl/sharedStrings.xml><?xml version="1.0" encoding="utf-8"?>
<sst xmlns="http://schemas.openxmlformats.org/spreadsheetml/2006/main" count="360" uniqueCount="95">
  <si>
    <t>% Variac.</t>
  </si>
  <si>
    <t>N.C</t>
  </si>
  <si>
    <t>Número de acciones en circulación</t>
  </si>
  <si>
    <t>Valor intrínseco por acción (en pesos colombianos)</t>
  </si>
  <si>
    <t>2012-1q</t>
  </si>
  <si>
    <t>2013-1q</t>
  </si>
  <si>
    <t>2012-2q</t>
  </si>
  <si>
    <t>2013-2q</t>
  </si>
  <si>
    <t>2012-3q</t>
  </si>
  <si>
    <t>2013-3q</t>
  </si>
  <si>
    <t>2012-4q</t>
  </si>
  <si>
    <t>2013-4q</t>
  </si>
  <si>
    <t>2012 Acum</t>
  </si>
  <si>
    <t>2013 Acum</t>
  </si>
  <si>
    <t>CONSOLIDATED BALANCE SHEET</t>
  </si>
  <si>
    <t>A December 31 de 2013</t>
  </si>
  <si>
    <t>(Values expressed in COP million)</t>
  </si>
  <si>
    <t>ASSETS</t>
  </si>
  <si>
    <t>Cash and temporary investments</t>
  </si>
  <si>
    <t>Investments</t>
  </si>
  <si>
    <t>Receivables</t>
  </si>
  <si>
    <t>Inventories</t>
  </si>
  <si>
    <t>Property, plant and equipment</t>
  </si>
  <si>
    <t>Intangibles</t>
  </si>
  <si>
    <t>Deferred assets</t>
  </si>
  <si>
    <t>Other assets</t>
  </si>
  <si>
    <t>Appreciation</t>
  </si>
  <si>
    <t>Total Assents</t>
  </si>
  <si>
    <t>LIABILITIES &amp; EQUITY</t>
  </si>
  <si>
    <t>Financial liabilities</t>
  </si>
  <si>
    <t>Suppliers</t>
  </si>
  <si>
    <t>Accounts payable</t>
  </si>
  <si>
    <t>Taxes, duties and tariffs</t>
  </si>
  <si>
    <t>Labor liabilities</t>
  </si>
  <si>
    <t>Estimaded liabilities and provisions</t>
  </si>
  <si>
    <t>Deferred liabilities</t>
  </si>
  <si>
    <t>Other liabilities</t>
  </si>
  <si>
    <t>Total liabilities</t>
  </si>
  <si>
    <t>Minority interest</t>
  </si>
  <si>
    <t>EQUITY</t>
  </si>
  <si>
    <t>TOTAL LIABILITIES AND EQUITY</t>
  </si>
  <si>
    <t>CONSOLIDATES INCOME STATEMENT</t>
  </si>
  <si>
    <t>January 1 to December 31,  2013</t>
  </si>
  <si>
    <t>% Ingresos</t>
  </si>
  <si>
    <t>2012-Acum</t>
  </si>
  <si>
    <t>2013-Acum</t>
  </si>
  <si>
    <t>Total operating revenues</t>
  </si>
  <si>
    <t>Cost of goods sold</t>
  </si>
  <si>
    <t>Gross income</t>
  </si>
  <si>
    <t>Administrative expenses</t>
  </si>
  <si>
    <t>Sales expenses</t>
  </si>
  <si>
    <t>Production expenses</t>
  </si>
  <si>
    <t>Total Operating expenses</t>
  </si>
  <si>
    <t>Operating income</t>
  </si>
  <si>
    <t>Financial revenues</t>
  </si>
  <si>
    <t>Financial expenses</t>
  </si>
  <si>
    <t>Foreign currency exposure</t>
  </si>
  <si>
    <t>Other revenues (expenditures), net</t>
  </si>
  <si>
    <t>Dividends (non-food)</t>
  </si>
  <si>
    <t>Non-recurring capital gains</t>
  </si>
  <si>
    <t>Non-operating, net</t>
  </si>
  <si>
    <t>Income before tax</t>
  </si>
  <si>
    <t>Income  tax</t>
  </si>
  <si>
    <t>Net Income</t>
  </si>
  <si>
    <t xml:space="preserve">CONSOLIDATED EBITDA </t>
  </si>
  <si>
    <t>* Información ilustrativa, no auditada.</t>
  </si>
  <si>
    <t>Revenues from application of equity method</t>
  </si>
  <si>
    <t>Sales of investments</t>
  </si>
  <si>
    <t>Dividends</t>
  </si>
  <si>
    <t>Financials  &amp; others</t>
  </si>
  <si>
    <t>Total Operating Revenues</t>
  </si>
  <si>
    <t>Operational Expenses</t>
  </si>
  <si>
    <t>Operating Income</t>
  </si>
  <si>
    <t>Non-operating revenues</t>
  </si>
  <si>
    <t>Non-operating expenses</t>
  </si>
  <si>
    <t>Pre-tax Earnings</t>
  </si>
  <si>
    <t>Income tax</t>
  </si>
  <si>
    <t>Net Earnings</t>
  </si>
  <si>
    <t>INDIVIDUAL BALANCE SHEET</t>
  </si>
  <si>
    <t>INDIVIDUAL INCOME STATEMENT</t>
  </si>
  <si>
    <t>Intangibles, deferred assets and other assets</t>
  </si>
  <si>
    <t>Suppliers and accounts payable</t>
  </si>
  <si>
    <t>Deferred liabilities and Other liabilities</t>
  </si>
  <si>
    <t>2014-1q</t>
  </si>
  <si>
    <t>Total Activo</t>
  </si>
  <si>
    <t>BALANCE GENERAL CONSOLIDADO</t>
  </si>
  <si>
    <t>% Varjac.</t>
  </si>
  <si>
    <t xml:space="preserve">A March 31 </t>
  </si>
  <si>
    <t>De January 1 to March 31 de 2014</t>
  </si>
  <si>
    <t>* Information illustrative unaudited.</t>
  </si>
  <si>
    <t>2014-2q</t>
  </si>
  <si>
    <t>2014-Acum</t>
  </si>
  <si>
    <t>A June 30</t>
  </si>
  <si>
    <t>De January 1 to June 30 de 2014</t>
  </si>
  <si>
    <t>N/A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</si>
</sst>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%"/>
    <numFmt numFmtId="173" formatCode="#,##0.0"/>
    <numFmt numFmtId="174" formatCode="_ * #,##0.00_ ;_ * \-#,##0.00_ ;_ * &quot;-&quot;??_ ;_ @_ "/>
    <numFmt numFmtId="175" formatCode="_-* #,##0.00_-;\-* #,##0.00_-;_-* &quot;-&quot;??_-;_-@_-"/>
    <numFmt numFmtId="176" formatCode="_ * #,##0_ ;_ * \-#,##0_ ;_ * &quot;-&quot;??_ ;_ @_ "/>
    <numFmt numFmtId="177" formatCode="#,##0.0_);\(#,##0.0\)"/>
    <numFmt numFmtId="178" formatCode="&quot;$&quot;_(#,##0.00_);&quot;$&quot;\(#,##0.00\)"/>
    <numFmt numFmtId="179" formatCode="#,##0.0_)\x;\(#,##0.0\)\x"/>
    <numFmt numFmtId="180" formatCode="#,##0.0_)_x;\(#,##0.0\)_x"/>
    <numFmt numFmtId="181" formatCode="0.0_)\%;\(0.0\)\%"/>
    <numFmt numFmtId="182" formatCode="#,##0.0_)_%;\(#,##0.0\)_%"/>
    <numFmt numFmtId="183" formatCode="_ [$€-2]\ * #,##0.00_ ;_ [$€-2]\ * \-#,##0.00_ ;_ [$€-2]\ * &quot;-&quot;??_ "/>
    <numFmt numFmtId="184" formatCode="_-* #,##0\ _p_t_a_-;\-* #,##0\ _p_t_a_-;_-* &quot;-&quot;\ _p_t_a_-;_-@_-"/>
    <numFmt numFmtId="185" formatCode="0.000%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1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7"/>
      <name val="Calibri"/>
      <family val="2"/>
    </font>
    <font>
      <b/>
      <sz val="11"/>
      <color indexed="23"/>
      <name val="Calibri"/>
      <family val="2"/>
    </font>
    <font>
      <b/>
      <sz val="8"/>
      <color indexed="23"/>
      <name val="Calibri"/>
      <family val="2"/>
    </font>
    <font>
      <b/>
      <sz val="10"/>
      <color indexed="23"/>
      <name val="Trebuchet MS"/>
      <family val="2"/>
    </font>
    <font>
      <sz val="10"/>
      <color indexed="23"/>
      <name val="Trebuchet MS"/>
      <family val="2"/>
    </font>
    <font>
      <b/>
      <sz val="10"/>
      <color indexed="8"/>
      <name val="Trebuchet MS"/>
      <family val="2"/>
    </font>
    <font>
      <b/>
      <sz val="10"/>
      <color indexed="60"/>
      <name val="Trebuchet MS"/>
      <family val="2"/>
    </font>
    <font>
      <sz val="10"/>
      <color indexed="60"/>
      <name val="Trebuchet MS"/>
      <family val="2"/>
    </font>
    <font>
      <sz val="10"/>
      <color indexed="23"/>
      <name val="Lucida Sans Unicode"/>
      <family val="2"/>
    </font>
    <font>
      <sz val="10"/>
      <color indexed="8"/>
      <name val="Trebuchet MS"/>
      <family val="2"/>
    </font>
    <font>
      <sz val="10"/>
      <color indexed="57"/>
      <name val="Trebuchet MS"/>
      <family val="2"/>
    </font>
    <font>
      <b/>
      <sz val="10"/>
      <color indexed="23"/>
      <name val="Lucida Sans Unicode"/>
      <family val="2"/>
    </font>
    <font>
      <b/>
      <sz val="10"/>
      <color indexed="57"/>
      <name val="Trebuchet MS"/>
      <family val="2"/>
    </font>
    <font>
      <sz val="10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6" tint="-0.24997000396251678"/>
      <name val="Calibri"/>
      <family val="2"/>
    </font>
    <font>
      <b/>
      <sz val="11"/>
      <color theme="0" tint="-0.4999699890613556"/>
      <name val="Calibri"/>
      <family val="2"/>
    </font>
    <font>
      <b/>
      <sz val="8"/>
      <color theme="0" tint="-0.4999699890613556"/>
      <name val="Calibri"/>
      <family val="2"/>
    </font>
    <font>
      <b/>
      <sz val="10"/>
      <color theme="0" tint="-0.4999699890613556"/>
      <name val="Trebuchet MS"/>
      <family val="2"/>
    </font>
    <font>
      <sz val="10"/>
      <color theme="0" tint="-0.4999699890613556"/>
      <name val="Trebuchet MS"/>
      <family val="2"/>
    </font>
    <font>
      <b/>
      <sz val="10"/>
      <color theme="1" tint="0.04998999834060669"/>
      <name val="Trebuchet MS"/>
      <family val="2"/>
    </font>
    <font>
      <b/>
      <sz val="10"/>
      <color theme="5" tint="-0.24997000396251678"/>
      <name val="Trebuchet MS"/>
      <family val="2"/>
    </font>
    <font>
      <sz val="10"/>
      <color theme="5" tint="-0.24997000396251678"/>
      <name val="Trebuchet MS"/>
      <family val="2"/>
    </font>
    <font>
      <sz val="10"/>
      <color theme="0" tint="-0.4999699890613556"/>
      <name val="Lucida Sans Unicode"/>
      <family val="2"/>
    </font>
    <font>
      <sz val="10"/>
      <color theme="1" tint="0.04998999834060669"/>
      <name val="Trebuchet MS"/>
      <family val="2"/>
    </font>
    <font>
      <sz val="10"/>
      <color theme="6" tint="-0.4999699890613556"/>
      <name val="Trebuchet MS"/>
      <family val="2"/>
    </font>
    <font>
      <b/>
      <sz val="10"/>
      <color theme="0" tint="-0.4999699890613556"/>
      <name val="Lucida Sans Unicode"/>
      <family val="2"/>
    </font>
    <font>
      <b/>
      <sz val="10"/>
      <color theme="6" tint="-0.4999699890613556"/>
      <name val="Trebuchet MS"/>
      <family val="2"/>
    </font>
    <font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C00000"/>
      <name val="Trebuchet MS"/>
      <family val="2"/>
    </font>
    <font>
      <sz val="10"/>
      <color rgb="FFC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>
        <color indexed="63"/>
      </top>
      <bottom style="medium"/>
    </border>
  </borders>
  <cellStyleXfs count="7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>
      <alignment vertical="top"/>
      <protection/>
    </xf>
    <xf numFmtId="183" fontId="0" fillId="0" borderId="0" applyFont="0" applyFill="0" applyBorder="0" applyAlignment="0" applyProtection="0"/>
    <xf numFmtId="0" fontId="43" fillId="30" borderId="0" applyNumberFormat="0" applyBorder="0" applyAlignment="0" applyProtection="0"/>
    <xf numFmtId="174" fontId="0" fillId="0" borderId="0" applyFont="0" applyFill="0" applyBorder="0" applyAlignment="0" applyProtection="0"/>
    <xf numFmtId="169" fontId="35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72" fontId="2" fillId="33" borderId="0" xfId="67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0" fontId="52" fillId="33" borderId="0" xfId="62" applyFont="1" applyFill="1" applyAlignment="1">
      <alignment horizontal="left"/>
      <protection/>
    </xf>
    <xf numFmtId="0" fontId="53" fillId="33" borderId="0" xfId="62" applyFont="1" applyFill="1">
      <alignment/>
      <protection/>
    </xf>
    <xf numFmtId="0" fontId="54" fillId="33" borderId="0" xfId="62" applyFont="1" applyFill="1" applyBorder="1">
      <alignment/>
      <protection/>
    </xf>
    <xf numFmtId="3" fontId="55" fillId="33" borderId="0" xfId="0" applyNumberFormat="1" applyFont="1" applyFill="1" applyAlignment="1">
      <alignment/>
    </xf>
    <xf numFmtId="3" fontId="56" fillId="33" borderId="0" xfId="0" applyNumberFormat="1" applyFont="1" applyFill="1" applyAlignment="1">
      <alignment/>
    </xf>
    <xf numFmtId="172" fontId="56" fillId="33" borderId="0" xfId="67" applyNumberFormat="1" applyFont="1" applyFill="1" applyAlignment="1">
      <alignment/>
    </xf>
    <xf numFmtId="173" fontId="56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5" fillId="33" borderId="10" xfId="0" applyFont="1" applyFill="1" applyBorder="1" applyAlignment="1">
      <alignment horizontal="center"/>
    </xf>
    <xf numFmtId="0" fontId="57" fillId="4" borderId="10" xfId="0" applyFont="1" applyFill="1" applyBorder="1" applyAlignment="1">
      <alignment horizontal="center"/>
    </xf>
    <xf numFmtId="172" fontId="55" fillId="2" borderId="10" xfId="67" applyNumberFormat="1" applyFont="1" applyFill="1" applyBorder="1" applyAlignment="1">
      <alignment horizontal="center"/>
    </xf>
    <xf numFmtId="0" fontId="56" fillId="33" borderId="11" xfId="64" applyFont="1" applyFill="1" applyBorder="1">
      <alignment/>
      <protection/>
    </xf>
    <xf numFmtId="3" fontId="56" fillId="4" borderId="0" xfId="0" applyNumberFormat="1" applyFont="1" applyFill="1" applyAlignment="1">
      <alignment/>
    </xf>
    <xf numFmtId="172" fontId="56" fillId="2" borderId="0" xfId="67" applyNumberFormat="1" applyFont="1" applyFill="1" applyAlignment="1">
      <alignment/>
    </xf>
    <xf numFmtId="174" fontId="56" fillId="33" borderId="0" xfId="55" applyFont="1" applyFill="1" applyAlignment="1">
      <alignment/>
    </xf>
    <xf numFmtId="172" fontId="56" fillId="2" borderId="0" xfId="67" applyNumberFormat="1" applyFont="1" applyFill="1" applyAlignment="1">
      <alignment horizontal="right"/>
    </xf>
    <xf numFmtId="3" fontId="55" fillId="33" borderId="12" xfId="0" applyNumberFormat="1" applyFont="1" applyFill="1" applyBorder="1" applyAlignment="1">
      <alignment/>
    </xf>
    <xf numFmtId="3" fontId="55" fillId="4" borderId="12" xfId="0" applyNumberFormat="1" applyFont="1" applyFill="1" applyBorder="1" applyAlignment="1">
      <alignment/>
    </xf>
    <xf numFmtId="172" fontId="56" fillId="2" borderId="12" xfId="67" applyNumberFormat="1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55" fillId="4" borderId="0" xfId="0" applyFont="1" applyFill="1" applyAlignment="1">
      <alignment horizontal="center"/>
    </xf>
    <xf numFmtId="172" fontId="55" fillId="2" borderId="0" xfId="67" applyNumberFormat="1" applyFont="1" applyFill="1" applyAlignment="1">
      <alignment horizontal="center"/>
    </xf>
    <xf numFmtId="3" fontId="55" fillId="4" borderId="0" xfId="0" applyNumberFormat="1" applyFont="1" applyFill="1" applyAlignment="1">
      <alignment/>
    </xf>
    <xf numFmtId="172" fontId="55" fillId="2" borderId="0" xfId="67" applyNumberFormat="1" applyFont="1" applyFill="1" applyAlignment="1">
      <alignment/>
    </xf>
    <xf numFmtId="0" fontId="55" fillId="33" borderId="0" xfId="0" applyFont="1" applyFill="1" applyAlignment="1">
      <alignment/>
    </xf>
    <xf numFmtId="3" fontId="55" fillId="33" borderId="13" xfId="0" applyNumberFormat="1" applyFont="1" applyFill="1" applyBorder="1" applyAlignment="1">
      <alignment/>
    </xf>
    <xf numFmtId="3" fontId="55" fillId="4" borderId="13" xfId="0" applyNumberFormat="1" applyFont="1" applyFill="1" applyBorder="1" applyAlignment="1">
      <alignment/>
    </xf>
    <xf numFmtId="172" fontId="55" fillId="2" borderId="13" xfId="67" applyNumberFormat="1" applyFont="1" applyFill="1" applyBorder="1" applyAlignment="1">
      <alignment/>
    </xf>
    <xf numFmtId="172" fontId="55" fillId="2" borderId="12" xfId="67" applyNumberFormat="1" applyFont="1" applyFill="1" applyBorder="1" applyAlignment="1">
      <alignment/>
    </xf>
    <xf numFmtId="4" fontId="56" fillId="33" borderId="0" xfId="0" applyNumberFormat="1" applyFont="1" applyFill="1" applyAlignment="1">
      <alignment/>
    </xf>
    <xf numFmtId="4" fontId="56" fillId="4" borderId="0" xfId="0" applyNumberFormat="1" applyFont="1" applyFill="1" applyAlignment="1">
      <alignment/>
    </xf>
    <xf numFmtId="0" fontId="56" fillId="33" borderId="0" xfId="64" applyFont="1" applyFill="1" applyBorder="1">
      <alignment/>
      <protection/>
    </xf>
    <xf numFmtId="172" fontId="56" fillId="33" borderId="0" xfId="67" applyNumberFormat="1" applyFont="1" applyFill="1" applyBorder="1" applyAlignment="1">
      <alignment/>
    </xf>
    <xf numFmtId="172" fontId="55" fillId="33" borderId="0" xfId="67" applyNumberFormat="1" applyFont="1" applyFill="1" applyBorder="1" applyAlignment="1">
      <alignment/>
    </xf>
    <xf numFmtId="0" fontId="55" fillId="2" borderId="10" xfId="0" applyFont="1" applyFill="1" applyBorder="1" applyAlignment="1">
      <alignment horizontal="center"/>
    </xf>
    <xf numFmtId="0" fontId="58" fillId="4" borderId="10" xfId="0" applyFont="1" applyFill="1" applyBorder="1" applyAlignment="1">
      <alignment horizontal="center"/>
    </xf>
    <xf numFmtId="3" fontId="58" fillId="4" borderId="0" xfId="0" applyNumberFormat="1" applyFont="1" applyFill="1" applyAlignment="1">
      <alignment/>
    </xf>
    <xf numFmtId="9" fontId="55" fillId="33" borderId="0" xfId="67" applyFont="1" applyFill="1" applyAlignment="1">
      <alignment/>
    </xf>
    <xf numFmtId="3" fontId="59" fillId="4" borderId="0" xfId="0" applyNumberFormat="1" applyFont="1" applyFill="1" applyAlignment="1">
      <alignment/>
    </xf>
    <xf numFmtId="0" fontId="55" fillId="33" borderId="12" xfId="65" applyFont="1" applyFill="1" applyBorder="1">
      <alignment/>
      <protection/>
    </xf>
    <xf numFmtId="176" fontId="55" fillId="33" borderId="12" xfId="58" applyNumberFormat="1" applyFont="1" applyFill="1" applyBorder="1" applyAlignment="1">
      <alignment/>
    </xf>
    <xf numFmtId="176" fontId="55" fillId="4" borderId="12" xfId="58" applyNumberFormat="1" applyFont="1" applyFill="1" applyBorder="1" applyAlignment="1">
      <alignment/>
    </xf>
    <xf numFmtId="176" fontId="58" fillId="4" borderId="12" xfId="58" applyNumberFormat="1" applyFont="1" applyFill="1" applyBorder="1" applyAlignment="1">
      <alignment/>
    </xf>
    <xf numFmtId="0" fontId="57" fillId="33" borderId="14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2" borderId="10" xfId="0" applyFont="1" applyFill="1" applyBorder="1" applyAlignment="1">
      <alignment horizontal="center"/>
    </xf>
    <xf numFmtId="0" fontId="60" fillId="33" borderId="0" xfId="64" applyFont="1" applyFill="1" applyBorder="1">
      <alignment/>
      <protection/>
    </xf>
    <xf numFmtId="0" fontId="61" fillId="33" borderId="15" xfId="64" applyFont="1" applyFill="1" applyBorder="1">
      <alignment/>
      <protection/>
    </xf>
    <xf numFmtId="3" fontId="62" fillId="33" borderId="0" xfId="0" applyNumberFormat="1" applyFont="1" applyFill="1" applyAlignment="1">
      <alignment/>
    </xf>
    <xf numFmtId="3" fontId="62" fillId="4" borderId="0" xfId="0" applyNumberFormat="1" applyFont="1" applyFill="1" applyAlignment="1">
      <alignment/>
    </xf>
    <xf numFmtId="0" fontId="63" fillId="33" borderId="0" xfId="64" applyFont="1" applyFill="1" applyBorder="1">
      <alignment/>
      <protection/>
    </xf>
    <xf numFmtId="185" fontId="56" fillId="33" borderId="0" xfId="67" applyNumberFormat="1" applyFont="1" applyFill="1" applyBorder="1" applyAlignment="1">
      <alignment/>
    </xf>
    <xf numFmtId="0" fontId="57" fillId="33" borderId="16" xfId="64" applyFont="1" applyFill="1" applyBorder="1">
      <alignment/>
      <protection/>
    </xf>
    <xf numFmtId="3" fontId="64" fillId="33" borderId="12" xfId="0" applyNumberFormat="1" applyFont="1" applyFill="1" applyBorder="1" applyAlignment="1">
      <alignment/>
    </xf>
    <xf numFmtId="3" fontId="58" fillId="4" borderId="12" xfId="0" applyNumberFormat="1" applyFont="1" applyFill="1" applyBorder="1" applyAlignment="1">
      <alignment/>
    </xf>
    <xf numFmtId="3" fontId="64" fillId="4" borderId="12" xfId="0" applyNumberFormat="1" applyFont="1" applyFill="1" applyBorder="1" applyAlignment="1">
      <alignment/>
    </xf>
    <xf numFmtId="0" fontId="55" fillId="33" borderId="0" xfId="0" applyFont="1" applyFill="1" applyAlignment="1">
      <alignment horizontal="right"/>
    </xf>
    <xf numFmtId="0" fontId="64" fillId="33" borderId="0" xfId="0" applyFont="1" applyFill="1" applyAlignment="1">
      <alignment horizontal="right"/>
    </xf>
    <xf numFmtId="0" fontId="58" fillId="4" borderId="0" xfId="0" applyFont="1" applyFill="1" applyAlignment="1">
      <alignment horizontal="right"/>
    </xf>
    <xf numFmtId="0" fontId="64" fillId="4" borderId="0" xfId="0" applyFont="1" applyFill="1" applyAlignment="1">
      <alignment horizontal="right"/>
    </xf>
    <xf numFmtId="172" fontId="55" fillId="2" borderId="0" xfId="67" applyNumberFormat="1" applyFont="1" applyFill="1" applyAlignment="1">
      <alignment horizontal="right"/>
    </xf>
    <xf numFmtId="0" fontId="57" fillId="33" borderId="15" xfId="64" applyFont="1" applyFill="1" applyBorder="1">
      <alignment/>
      <protection/>
    </xf>
    <xf numFmtId="3" fontId="64" fillId="33" borderId="0" xfId="0" applyNumberFormat="1" applyFont="1" applyFill="1" applyAlignment="1">
      <alignment/>
    </xf>
    <xf numFmtId="3" fontId="64" fillId="4" borderId="0" xfId="0" applyNumberFormat="1" applyFont="1" applyFill="1" applyAlignment="1">
      <alignment/>
    </xf>
    <xf numFmtId="3" fontId="57" fillId="33" borderId="17" xfId="0" applyNumberFormat="1" applyFont="1" applyFill="1" applyBorder="1" applyAlignment="1">
      <alignment/>
    </xf>
    <xf numFmtId="3" fontId="64" fillId="33" borderId="13" xfId="0" applyNumberFormat="1" applyFont="1" applyFill="1" applyBorder="1" applyAlignment="1">
      <alignment/>
    </xf>
    <xf numFmtId="3" fontId="58" fillId="4" borderId="13" xfId="0" applyNumberFormat="1" applyFont="1" applyFill="1" applyBorder="1" applyAlignment="1">
      <alignment/>
    </xf>
    <xf numFmtId="3" fontId="64" fillId="4" borderId="13" xfId="0" applyNumberFormat="1" applyFont="1" applyFill="1" applyBorder="1" applyAlignment="1">
      <alignment/>
    </xf>
    <xf numFmtId="3" fontId="57" fillId="33" borderId="18" xfId="0" applyNumberFormat="1" applyFont="1" applyFill="1" applyBorder="1" applyAlignment="1">
      <alignment/>
    </xf>
    <xf numFmtId="0" fontId="53" fillId="33" borderId="0" xfId="63" applyFont="1" applyFill="1" applyBorder="1">
      <alignment/>
      <protection/>
    </xf>
    <xf numFmtId="172" fontId="57" fillId="2" borderId="10" xfId="67" applyNumberFormat="1" applyFont="1" applyFill="1" applyBorder="1" applyAlignment="1">
      <alignment horizontal="center"/>
    </xf>
    <xf numFmtId="0" fontId="58" fillId="2" borderId="10" xfId="0" applyFont="1" applyFill="1" applyBorder="1" applyAlignment="1">
      <alignment horizontal="center"/>
    </xf>
    <xf numFmtId="172" fontId="58" fillId="2" borderId="10" xfId="67" applyNumberFormat="1" applyFont="1" applyFill="1" applyBorder="1" applyAlignment="1">
      <alignment horizontal="center"/>
    </xf>
    <xf numFmtId="3" fontId="57" fillId="33" borderId="14" xfId="0" applyNumberFormat="1" applyFont="1" applyFill="1" applyBorder="1" applyAlignment="1">
      <alignment/>
    </xf>
    <xf numFmtId="3" fontId="55" fillId="33" borderId="0" xfId="67" applyNumberFormat="1" applyFont="1" applyFill="1" applyAlignment="1">
      <alignment/>
    </xf>
    <xf numFmtId="3" fontId="55" fillId="4" borderId="0" xfId="67" applyNumberFormat="1" applyFont="1" applyFill="1" applyAlignment="1">
      <alignment/>
    </xf>
    <xf numFmtId="3" fontId="58" fillId="4" borderId="0" xfId="67" applyNumberFormat="1" applyFont="1" applyFill="1" applyAlignment="1">
      <alignment/>
    </xf>
    <xf numFmtId="172" fontId="58" fillId="2" borderId="0" xfId="67" applyNumberFormat="1" applyFont="1" applyFill="1" applyAlignment="1">
      <alignment/>
    </xf>
    <xf numFmtId="172" fontId="59" fillId="2" borderId="0" xfId="67" applyNumberFormat="1" applyFont="1" applyFill="1" applyAlignment="1">
      <alignment/>
    </xf>
    <xf numFmtId="3" fontId="61" fillId="33" borderId="14" xfId="0" applyNumberFormat="1" applyFont="1" applyFill="1" applyBorder="1" applyAlignment="1">
      <alignment/>
    </xf>
    <xf numFmtId="3" fontId="56" fillId="33" borderId="0" xfId="67" applyNumberFormat="1" applyFont="1" applyFill="1" applyAlignment="1">
      <alignment/>
    </xf>
    <xf numFmtId="3" fontId="56" fillId="4" borderId="0" xfId="67" applyNumberFormat="1" applyFont="1" applyFill="1" applyAlignment="1">
      <alignment/>
    </xf>
    <xf numFmtId="3" fontId="59" fillId="4" borderId="0" xfId="67" applyNumberFormat="1" applyFont="1" applyFill="1" applyAlignment="1">
      <alignment/>
    </xf>
    <xf numFmtId="172" fontId="59" fillId="2" borderId="0" xfId="67" applyNumberFormat="1" applyFont="1" applyFill="1" applyAlignment="1">
      <alignment horizontal="right"/>
    </xf>
    <xf numFmtId="172" fontId="59" fillId="2" borderId="19" xfId="67" applyNumberFormat="1" applyFont="1" applyFill="1" applyBorder="1" applyAlignment="1">
      <alignment/>
    </xf>
    <xf numFmtId="3" fontId="57" fillId="33" borderId="20" xfId="0" applyNumberFormat="1" applyFont="1" applyFill="1" applyBorder="1" applyAlignment="1">
      <alignment/>
    </xf>
    <xf numFmtId="3" fontId="55" fillId="33" borderId="21" xfId="0" applyNumberFormat="1" applyFont="1" applyFill="1" applyBorder="1" applyAlignment="1">
      <alignment/>
    </xf>
    <xf numFmtId="3" fontId="55" fillId="4" borderId="21" xfId="0" applyNumberFormat="1" applyFont="1" applyFill="1" applyBorder="1" applyAlignment="1">
      <alignment/>
    </xf>
    <xf numFmtId="172" fontId="55" fillId="2" borderId="21" xfId="67" applyNumberFormat="1" applyFont="1" applyFill="1" applyBorder="1" applyAlignment="1">
      <alignment/>
    </xf>
    <xf numFmtId="3" fontId="58" fillId="4" borderId="21" xfId="0" applyNumberFormat="1" applyFont="1" applyFill="1" applyBorder="1" applyAlignment="1">
      <alignment/>
    </xf>
    <xf numFmtId="172" fontId="58" fillId="2" borderId="21" xfId="67" applyNumberFormat="1" applyFont="1" applyFill="1" applyBorder="1" applyAlignment="1">
      <alignment/>
    </xf>
    <xf numFmtId="10" fontId="55" fillId="2" borderId="12" xfId="67" applyNumberFormat="1" applyFont="1" applyFill="1" applyBorder="1" applyAlignment="1">
      <alignment/>
    </xf>
    <xf numFmtId="172" fontId="59" fillId="2" borderId="12" xfId="67" applyNumberFormat="1" applyFont="1" applyFill="1" applyBorder="1" applyAlignment="1">
      <alignment/>
    </xf>
    <xf numFmtId="172" fontId="58" fillId="2" borderId="12" xfId="67" applyNumberFormat="1" applyFont="1" applyFill="1" applyBorder="1" applyAlignment="1">
      <alignment/>
    </xf>
    <xf numFmtId="173" fontId="56" fillId="33" borderId="0" xfId="0" applyNumberFormat="1" applyFont="1" applyFill="1" applyAlignment="1">
      <alignment/>
    </xf>
    <xf numFmtId="0" fontId="65" fillId="33" borderId="0" xfId="0" applyFont="1" applyFill="1" applyAlignment="1">
      <alignment/>
    </xf>
    <xf numFmtId="9" fontId="56" fillId="33" borderId="0" xfId="67" applyFont="1" applyFill="1" applyAlignment="1">
      <alignment/>
    </xf>
    <xf numFmtId="174" fontId="2" fillId="33" borderId="0" xfId="55" applyFont="1" applyFill="1" applyAlignment="1">
      <alignment/>
    </xf>
    <xf numFmtId="0" fontId="66" fillId="33" borderId="10" xfId="0" applyFont="1" applyFill="1" applyBorder="1" applyAlignment="1">
      <alignment horizontal="center"/>
    </xf>
    <xf numFmtId="0" fontId="55" fillId="4" borderId="10" xfId="0" applyFont="1" applyFill="1" applyBorder="1" applyAlignment="1">
      <alignment horizontal="center"/>
    </xf>
    <xf numFmtId="3" fontId="67" fillId="33" borderId="0" xfId="0" applyNumberFormat="1" applyFont="1" applyFill="1" applyAlignment="1">
      <alignment/>
    </xf>
    <xf numFmtId="3" fontId="66" fillId="33" borderId="12" xfId="0" applyNumberFormat="1" applyFont="1" applyFill="1" applyBorder="1" applyAlignment="1">
      <alignment/>
    </xf>
    <xf numFmtId="0" fontId="66" fillId="33" borderId="0" xfId="0" applyFont="1" applyFill="1" applyAlignment="1">
      <alignment horizontal="center"/>
    </xf>
    <xf numFmtId="3" fontId="66" fillId="33" borderId="0" xfId="0" applyNumberFormat="1" applyFont="1" applyFill="1" applyAlignment="1">
      <alignment/>
    </xf>
    <xf numFmtId="3" fontId="66" fillId="33" borderId="13" xfId="0" applyNumberFormat="1" applyFont="1" applyFill="1" applyBorder="1" applyAlignment="1">
      <alignment/>
    </xf>
    <xf numFmtId="4" fontId="67" fillId="33" borderId="0" xfId="0" applyNumberFormat="1" applyFont="1" applyFill="1" applyAlignment="1">
      <alignment/>
    </xf>
    <xf numFmtId="0" fontId="66" fillId="4" borderId="10" xfId="0" applyFont="1" applyFill="1" applyBorder="1" applyAlignment="1">
      <alignment horizontal="center"/>
    </xf>
    <xf numFmtId="3" fontId="66" fillId="4" borderId="0" xfId="0" applyNumberFormat="1" applyFont="1" applyFill="1" applyAlignment="1">
      <alignment/>
    </xf>
    <xf numFmtId="3" fontId="67" fillId="4" borderId="0" xfId="0" applyNumberFormat="1" applyFont="1" applyFill="1" applyAlignment="1">
      <alignment/>
    </xf>
    <xf numFmtId="176" fontId="66" fillId="33" borderId="12" xfId="58" applyNumberFormat="1" applyFont="1" applyFill="1" applyBorder="1" applyAlignment="1">
      <alignment/>
    </xf>
    <xf numFmtId="176" fontId="66" fillId="4" borderId="12" xfId="58" applyNumberFormat="1" applyFont="1" applyFill="1" applyBorder="1" applyAlignment="1">
      <alignment/>
    </xf>
    <xf numFmtId="0" fontId="66" fillId="33" borderId="0" xfId="0" applyFont="1" applyFill="1" applyAlignment="1">
      <alignment horizontal="right"/>
    </xf>
    <xf numFmtId="3" fontId="66" fillId="33" borderId="0" xfId="67" applyNumberFormat="1" applyFont="1" applyFill="1" applyAlignment="1">
      <alignment/>
    </xf>
    <xf numFmtId="173" fontId="55" fillId="33" borderId="0" xfId="0" applyNumberFormat="1" applyFont="1" applyFill="1" applyAlignment="1">
      <alignment/>
    </xf>
    <xf numFmtId="3" fontId="67" fillId="33" borderId="0" xfId="67" applyNumberFormat="1" applyFont="1" applyFill="1" applyAlignment="1">
      <alignment/>
    </xf>
    <xf numFmtId="3" fontId="66" fillId="33" borderId="21" xfId="0" applyNumberFormat="1" applyFont="1" applyFill="1" applyBorder="1" applyAlignment="1">
      <alignment/>
    </xf>
    <xf numFmtId="0" fontId="55" fillId="33" borderId="22" xfId="64" applyFont="1" applyFill="1" applyBorder="1">
      <alignment/>
      <protection/>
    </xf>
    <xf numFmtId="0" fontId="57" fillId="33" borderId="0" xfId="0" applyFont="1" applyFill="1" applyBorder="1" applyAlignment="1">
      <alignment horizontal="center"/>
    </xf>
    <xf numFmtId="0" fontId="61" fillId="33" borderId="0" xfId="64" applyFont="1" applyFill="1" applyBorder="1">
      <alignment/>
      <protection/>
    </xf>
    <xf numFmtId="0" fontId="61" fillId="33" borderId="19" xfId="64" applyFont="1" applyFill="1" applyBorder="1">
      <alignment/>
      <protection/>
    </xf>
    <xf numFmtId="3" fontId="57" fillId="33" borderId="19" xfId="0" applyNumberFormat="1" applyFont="1" applyFill="1" applyBorder="1" applyAlignment="1">
      <alignment/>
    </xf>
    <xf numFmtId="0" fontId="57" fillId="33" borderId="19" xfId="64" applyFont="1" applyFill="1" applyBorder="1">
      <alignment/>
      <protection/>
    </xf>
    <xf numFmtId="3" fontId="57" fillId="33" borderId="12" xfId="0" applyNumberFormat="1" applyFont="1" applyFill="1" applyBorder="1" applyAlignment="1">
      <alignment/>
    </xf>
    <xf numFmtId="0" fontId="68" fillId="4" borderId="10" xfId="0" applyFont="1" applyFill="1" applyBorder="1" applyAlignment="1">
      <alignment horizontal="center"/>
    </xf>
    <xf numFmtId="0" fontId="68" fillId="2" borderId="10" xfId="0" applyFont="1" applyFill="1" applyBorder="1" applyAlignment="1">
      <alignment horizontal="center"/>
    </xf>
    <xf numFmtId="172" fontId="68" fillId="2" borderId="10" xfId="67" applyNumberFormat="1" applyFont="1" applyFill="1" applyBorder="1" applyAlignment="1">
      <alignment horizontal="center"/>
    </xf>
    <xf numFmtId="3" fontId="68" fillId="4" borderId="0" xfId="67" applyNumberFormat="1" applyFont="1" applyFill="1" applyAlignment="1">
      <alignment/>
    </xf>
    <xf numFmtId="172" fontId="68" fillId="2" borderId="0" xfId="67" applyNumberFormat="1" applyFont="1" applyFill="1" applyAlignment="1">
      <alignment/>
    </xf>
    <xf numFmtId="172" fontId="69" fillId="2" borderId="0" xfId="67" applyNumberFormat="1" applyFont="1" applyFill="1" applyAlignment="1">
      <alignment/>
    </xf>
    <xf numFmtId="3" fontId="69" fillId="4" borderId="0" xfId="67" applyNumberFormat="1" applyFont="1" applyFill="1" applyAlignment="1">
      <alignment/>
    </xf>
    <xf numFmtId="3" fontId="68" fillId="4" borderId="0" xfId="0" applyNumberFormat="1" applyFont="1" applyFill="1" applyAlignment="1">
      <alignment/>
    </xf>
    <xf numFmtId="3" fontId="69" fillId="4" borderId="0" xfId="0" applyNumberFormat="1" applyFont="1" applyFill="1" applyAlignment="1">
      <alignment/>
    </xf>
    <xf numFmtId="3" fontId="68" fillId="4" borderId="21" xfId="0" applyNumberFormat="1" applyFont="1" applyFill="1" applyBorder="1" applyAlignment="1">
      <alignment/>
    </xf>
    <xf numFmtId="172" fontId="68" fillId="2" borderId="21" xfId="67" applyNumberFormat="1" applyFont="1" applyFill="1" applyBorder="1" applyAlignment="1">
      <alignment/>
    </xf>
    <xf numFmtId="3" fontId="68" fillId="4" borderId="12" xfId="0" applyNumberFormat="1" applyFont="1" applyFill="1" applyBorder="1" applyAlignment="1">
      <alignment/>
    </xf>
    <xf numFmtId="172" fontId="68" fillId="2" borderId="12" xfId="67" applyNumberFormat="1" applyFont="1" applyFill="1" applyBorder="1" applyAlignment="1">
      <alignment/>
    </xf>
  </cellXfs>
  <cellStyles count="62">
    <cellStyle name="Normal" xfId="0"/>
    <cellStyle name="_Comma" xfId="15"/>
    <cellStyle name="_Currency" xfId="16"/>
    <cellStyle name="_CurrencySpace" xfId="17"/>
    <cellStyle name="_Multiple" xfId="18"/>
    <cellStyle name="_MultipleSpace" xfId="19"/>
    <cellStyle name="_Percent" xfId="20"/>
    <cellStyle name="_PercentSpace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uena" xfId="40"/>
    <cellStyle name="Cálculo" xfId="41"/>
    <cellStyle name="Celda de comprobación" xfId="42"/>
    <cellStyle name="Celda vinculada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stilo 1" xfId="52"/>
    <cellStyle name="Euro" xfId="53"/>
    <cellStyle name="Incorrecto" xfId="54"/>
    <cellStyle name="Comma" xfId="55"/>
    <cellStyle name="Comma [0]" xfId="56"/>
    <cellStyle name="Millares [0] 2" xfId="57"/>
    <cellStyle name="Millares_INCH JUNTA MES MARZO NUEVA PRESENTACIÓN 2005" xfId="58"/>
    <cellStyle name="Currency" xfId="59"/>
    <cellStyle name="Currency [0]" xfId="60"/>
    <cellStyle name="Neutral" xfId="61"/>
    <cellStyle name="Normal 2" xfId="62"/>
    <cellStyle name="Normal 5" xfId="63"/>
    <cellStyle name="Normal_INCH JUNTA DICIEMBRE ACTUALIZADA EN FEBRERO 8 2004" xfId="64"/>
    <cellStyle name="Normal_INCH JUNTA MES MARZO NUEVA PRESENTACIÓN 200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1295400</xdr:colOff>
      <xdr:row>3</xdr:row>
      <xdr:rowOff>123825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66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RE\Trim012005\PG03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zoomScale="94" zoomScaleNormal="94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N18" sqref="N18"/>
    </sheetView>
  </sheetViews>
  <sheetFormatPr defaultColWidth="11.421875" defaultRowHeight="12.75"/>
  <cols>
    <col min="1" max="1" width="43.7109375" style="1" customWidth="1"/>
    <col min="2" max="7" width="12.140625" style="1" bestFit="1" customWidth="1"/>
    <col min="8" max="8" width="12.14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4" width="11.421875" style="1" customWidth="1"/>
    <col min="15" max="15" width="14.28125" style="1" bestFit="1" customWidth="1"/>
    <col min="16" max="17" width="14.28125" style="1" customWidth="1"/>
    <col min="18" max="16384" width="11.421875" style="1" customWidth="1"/>
  </cols>
  <sheetData>
    <row r="1" spans="13:19" ht="15">
      <c r="M1" s="3"/>
      <c r="N1" s="3"/>
      <c r="O1" s="3"/>
      <c r="P1" s="3"/>
      <c r="Q1" s="3"/>
      <c r="R1" s="4"/>
      <c r="S1" s="4"/>
    </row>
    <row r="2" spans="13:19" ht="15">
      <c r="M2" s="3"/>
      <c r="N2" s="3"/>
      <c r="O2" s="3"/>
      <c r="P2" s="3"/>
      <c r="Q2" s="3"/>
      <c r="R2" s="4"/>
      <c r="S2" s="4"/>
    </row>
    <row r="3" spans="13:19" ht="15">
      <c r="M3" s="3"/>
      <c r="N3" s="3"/>
      <c r="O3" s="3"/>
      <c r="P3" s="3"/>
      <c r="Q3" s="3"/>
      <c r="R3" s="4"/>
      <c r="S3" s="4"/>
    </row>
    <row r="4" spans="13:19" ht="15">
      <c r="M4" s="3"/>
      <c r="N4" s="3"/>
      <c r="O4" s="3"/>
      <c r="P4" s="3"/>
      <c r="Q4" s="3"/>
      <c r="R4" s="4"/>
      <c r="S4" s="4"/>
    </row>
    <row r="5" spans="13:19" ht="15">
      <c r="M5" s="3"/>
      <c r="N5" s="3"/>
      <c r="O5" s="3"/>
      <c r="P5" s="3"/>
      <c r="Q5" s="3"/>
      <c r="R5" s="4"/>
      <c r="S5" s="4"/>
    </row>
    <row r="6" spans="1:19" ht="21">
      <c r="A6" s="5" t="s">
        <v>78</v>
      </c>
      <c r="B6" s="5"/>
      <c r="C6" s="5"/>
      <c r="D6" s="5"/>
      <c r="E6" s="5"/>
      <c r="F6" s="5"/>
      <c r="G6" s="5"/>
      <c r="M6" s="3"/>
      <c r="N6" s="3"/>
      <c r="O6" s="3"/>
      <c r="P6" s="3"/>
      <c r="Q6" s="3"/>
      <c r="R6" s="4"/>
      <c r="S6" s="4"/>
    </row>
    <row r="7" spans="1:19" ht="15.75">
      <c r="A7" s="6" t="s">
        <v>15</v>
      </c>
      <c r="B7" s="6"/>
      <c r="C7" s="6"/>
      <c r="D7" s="6"/>
      <c r="E7" s="6"/>
      <c r="F7" s="6"/>
      <c r="G7" s="6"/>
      <c r="M7" s="3"/>
      <c r="N7" s="3"/>
      <c r="O7" s="3"/>
      <c r="P7" s="3"/>
      <c r="Q7" s="3"/>
      <c r="R7" s="4"/>
      <c r="S7" s="4"/>
    </row>
    <row r="8" spans="1:19" ht="15">
      <c r="A8" s="7" t="s">
        <v>16</v>
      </c>
      <c r="B8" s="7"/>
      <c r="C8" s="7"/>
      <c r="D8" s="7"/>
      <c r="E8" s="7"/>
      <c r="F8" s="7"/>
      <c r="G8" s="7"/>
      <c r="M8" s="3"/>
      <c r="N8" s="3"/>
      <c r="O8" s="3"/>
      <c r="P8" s="3"/>
      <c r="Q8" s="3"/>
      <c r="R8" s="4"/>
      <c r="S8" s="4"/>
    </row>
    <row r="9" spans="1:23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0"/>
      <c r="O9" s="10"/>
      <c r="P9" s="10"/>
      <c r="Q9" s="10"/>
      <c r="R9" s="11"/>
      <c r="S9" s="11"/>
      <c r="T9" s="12"/>
      <c r="U9" s="12"/>
      <c r="V9" s="12"/>
      <c r="W9" s="12"/>
    </row>
    <row r="10" spans="1:12" s="13" customFormat="1" ht="15.75" thickBot="1">
      <c r="A10" s="49" t="s">
        <v>17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4">
        <v>2011</v>
      </c>
      <c r="I10" s="14">
        <v>2012</v>
      </c>
      <c r="J10" s="15">
        <v>2012</v>
      </c>
      <c r="K10" s="15">
        <v>2013</v>
      </c>
      <c r="L10" s="16" t="s">
        <v>0</v>
      </c>
    </row>
    <row r="11" spans="1:14" s="13" customFormat="1" ht="15">
      <c r="A11" s="53" t="s">
        <v>18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9">
        <v>94</v>
      </c>
      <c r="I11" s="9">
        <v>75</v>
      </c>
      <c r="J11" s="18">
        <v>74</v>
      </c>
      <c r="K11" s="18">
        <v>58</v>
      </c>
      <c r="L11" s="19">
        <f>IF(J11&lt;&gt;0,(K11-J11)/J11,0)</f>
        <v>-0.21621621621621623</v>
      </c>
      <c r="N11" s="10"/>
    </row>
    <row r="12" spans="1:14" s="13" customFormat="1" ht="15">
      <c r="A12" s="53" t="s">
        <v>19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9">
        <v>3554895</v>
      </c>
      <c r="I12" s="9">
        <v>3748345</v>
      </c>
      <c r="J12" s="18">
        <v>3748346</v>
      </c>
      <c r="K12" s="18">
        <v>4126523</v>
      </c>
      <c r="L12" s="19">
        <f aca="true" t="shared" si="0" ref="L12:L17">IF(J12&lt;&gt;0,(K12-J12)/J12,0)</f>
        <v>0.10089169996579825</v>
      </c>
      <c r="N12" s="10"/>
    </row>
    <row r="13" spans="1:23" s="20" customFormat="1" ht="14.25" customHeight="1">
      <c r="A13" s="53" t="s">
        <v>20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9">
        <v>10662</v>
      </c>
      <c r="I13" s="9">
        <v>14922</v>
      </c>
      <c r="J13" s="18">
        <v>14922</v>
      </c>
      <c r="K13" s="18">
        <v>18191</v>
      </c>
      <c r="L13" s="19">
        <f t="shared" si="0"/>
        <v>0.21907251038734754</v>
      </c>
      <c r="N13" s="10"/>
      <c r="U13" s="13"/>
      <c r="V13" s="13"/>
      <c r="W13" s="13"/>
    </row>
    <row r="14" spans="1:23" s="20" customFormat="1" ht="15">
      <c r="A14" s="53" t="s">
        <v>22</v>
      </c>
      <c r="B14" s="9"/>
      <c r="C14" s="9"/>
      <c r="D14" s="9">
        <v>0</v>
      </c>
      <c r="E14" s="9">
        <v>50</v>
      </c>
      <c r="F14" s="9"/>
      <c r="G14" s="9"/>
      <c r="H14" s="9">
        <v>0</v>
      </c>
      <c r="I14" s="9">
        <v>0</v>
      </c>
      <c r="J14" s="18">
        <v>0</v>
      </c>
      <c r="K14" s="18">
        <v>0</v>
      </c>
      <c r="L14" s="19">
        <f t="shared" si="0"/>
        <v>0</v>
      </c>
      <c r="N14" s="10"/>
      <c r="U14" s="13"/>
      <c r="V14" s="13"/>
      <c r="W14" s="13"/>
    </row>
    <row r="15" spans="1:23" s="20" customFormat="1" ht="15">
      <c r="A15" s="53" t="s">
        <v>80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9">
        <f>503+155</f>
        <v>658</v>
      </c>
      <c r="I15" s="9">
        <v>118</v>
      </c>
      <c r="J15" s="18">
        <v>118</v>
      </c>
      <c r="K15" s="18">
        <v>4612</v>
      </c>
      <c r="L15" s="21" t="s">
        <v>1</v>
      </c>
      <c r="N15" s="10"/>
      <c r="U15" s="13"/>
      <c r="V15" s="13"/>
      <c r="W15" s="13"/>
    </row>
    <row r="16" spans="1:23" s="20" customFormat="1" ht="15">
      <c r="A16" s="53" t="s">
        <v>26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9">
        <v>2979150</v>
      </c>
      <c r="I16" s="9">
        <v>3733696</v>
      </c>
      <c r="J16" s="18">
        <v>3733696</v>
      </c>
      <c r="K16" s="18">
        <v>3357714</v>
      </c>
      <c r="L16" s="19">
        <f t="shared" si="0"/>
        <v>-0.10069968203088843</v>
      </c>
      <c r="N16" s="10"/>
      <c r="U16" s="13"/>
      <c r="V16" s="13"/>
      <c r="W16" s="13"/>
    </row>
    <row r="17" spans="1:23" s="20" customFormat="1" ht="15.75" thickBot="1">
      <c r="A17" s="58" t="s">
        <v>27</v>
      </c>
      <c r="B17" s="22">
        <f aca="true" t="shared" si="1" ref="B17:K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22">
        <f t="shared" si="1"/>
        <v>6545459</v>
      </c>
      <c r="I17" s="22">
        <f t="shared" si="1"/>
        <v>7497156</v>
      </c>
      <c r="J17" s="23">
        <f t="shared" si="1"/>
        <v>7497156</v>
      </c>
      <c r="K17" s="23">
        <f t="shared" si="1"/>
        <v>7507098</v>
      </c>
      <c r="L17" s="24">
        <f t="shared" si="0"/>
        <v>0.001326102858203831</v>
      </c>
      <c r="N17" s="10"/>
      <c r="U17" s="13"/>
      <c r="V17" s="13"/>
      <c r="W17" s="13"/>
    </row>
    <row r="18" spans="2:14" s="13" customFormat="1" ht="15">
      <c r="B18" s="9"/>
      <c r="C18" s="9"/>
      <c r="D18" s="9"/>
      <c r="E18" s="9"/>
      <c r="F18" s="9"/>
      <c r="G18" s="9"/>
      <c r="H18" s="9"/>
      <c r="I18" s="9"/>
      <c r="J18" s="18"/>
      <c r="K18" s="18"/>
      <c r="L18" s="19"/>
      <c r="N18" s="10"/>
    </row>
    <row r="19" spans="1:23" s="20" customFormat="1" ht="15">
      <c r="A19" s="49" t="s">
        <v>28</v>
      </c>
      <c r="B19" s="25"/>
      <c r="C19" s="25"/>
      <c r="D19" s="25"/>
      <c r="E19" s="25"/>
      <c r="F19" s="25"/>
      <c r="G19" s="25"/>
      <c r="H19" s="25">
        <v>2011</v>
      </c>
      <c r="I19" s="25">
        <v>2012</v>
      </c>
      <c r="J19" s="26">
        <v>2012</v>
      </c>
      <c r="K19" s="26">
        <v>2013</v>
      </c>
      <c r="L19" s="27" t="s">
        <v>0</v>
      </c>
      <c r="N19" s="10"/>
      <c r="U19" s="13"/>
      <c r="V19" s="13"/>
      <c r="W19" s="13"/>
    </row>
    <row r="20" spans="1:23" s="20" customFormat="1" ht="15">
      <c r="A20" s="53" t="s">
        <v>29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9">
        <v>0</v>
      </c>
      <c r="I20" s="9">
        <v>7</v>
      </c>
      <c r="J20" s="18">
        <v>7</v>
      </c>
      <c r="K20" s="18">
        <v>0</v>
      </c>
      <c r="L20" s="19">
        <f aca="true" t="shared" si="2" ref="L20:L28">IF(J20&lt;&gt;0,(K20-J20)/J20,0)</f>
        <v>-1</v>
      </c>
      <c r="N20" s="10"/>
      <c r="U20" s="13"/>
      <c r="V20" s="13"/>
      <c r="W20" s="13"/>
    </row>
    <row r="21" spans="1:23" s="20" customFormat="1" ht="15">
      <c r="A21" s="53" t="s">
        <v>81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9">
        <v>59466</v>
      </c>
      <c r="I21" s="9">
        <v>65082</v>
      </c>
      <c r="J21" s="18">
        <v>65083</v>
      </c>
      <c r="K21" s="18">
        <v>70701</v>
      </c>
      <c r="L21" s="19">
        <f t="shared" si="2"/>
        <v>0.08632054453543936</v>
      </c>
      <c r="N21" s="10"/>
      <c r="U21" s="13"/>
      <c r="V21" s="13"/>
      <c r="W21" s="13"/>
    </row>
    <row r="22" spans="1:14" s="13" customFormat="1" ht="15">
      <c r="A22" s="17" t="s">
        <v>32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9">
        <v>585</v>
      </c>
      <c r="I22" s="9">
        <v>657</v>
      </c>
      <c r="J22" s="18">
        <v>657</v>
      </c>
      <c r="K22" s="18">
        <v>2299</v>
      </c>
      <c r="L22" s="19">
        <f t="shared" si="2"/>
        <v>2.4992389649923896</v>
      </c>
      <c r="N22" s="10"/>
    </row>
    <row r="23" spans="1:14" s="13" customFormat="1" ht="15">
      <c r="A23" s="17" t="s">
        <v>33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9">
        <v>872</v>
      </c>
      <c r="I23" s="9">
        <v>481</v>
      </c>
      <c r="J23" s="18">
        <v>481</v>
      </c>
      <c r="K23" s="18">
        <v>932</v>
      </c>
      <c r="L23" s="19">
        <f t="shared" si="2"/>
        <v>0.9376299376299376</v>
      </c>
      <c r="N23" s="10"/>
    </row>
    <row r="24" spans="1:14" s="13" customFormat="1" ht="15">
      <c r="A24" s="17" t="s">
        <v>34</v>
      </c>
      <c r="B24" s="9"/>
      <c r="C24" s="9"/>
      <c r="D24" s="9"/>
      <c r="E24" s="9"/>
      <c r="F24" s="9"/>
      <c r="G24" s="9"/>
      <c r="H24" s="9">
        <v>0</v>
      </c>
      <c r="I24" s="9">
        <v>0</v>
      </c>
      <c r="J24" s="18">
        <v>0</v>
      </c>
      <c r="K24" s="18">
        <v>0</v>
      </c>
      <c r="L24" s="19">
        <f t="shared" si="2"/>
        <v>0</v>
      </c>
      <c r="N24" s="10"/>
    </row>
    <row r="25" spans="1:14" s="13" customFormat="1" ht="15">
      <c r="A25" s="17" t="s">
        <v>82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9">
        <v>8296</v>
      </c>
      <c r="I25" s="9">
        <v>8803</v>
      </c>
      <c r="J25" s="18">
        <v>8803</v>
      </c>
      <c r="K25" s="18">
        <v>9622</v>
      </c>
      <c r="L25" s="19">
        <f t="shared" si="2"/>
        <v>0.0930364648415313</v>
      </c>
      <c r="N25" s="10"/>
    </row>
    <row r="26" spans="1:23" s="30" customFormat="1" ht="15">
      <c r="A26" s="67" t="s">
        <v>37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8">
        <f>SUM(H20:H25)</f>
        <v>69219</v>
      </c>
      <c r="I26" s="8">
        <f>SUM(I20:I25)</f>
        <v>75030</v>
      </c>
      <c r="J26" s="28">
        <f>SUM(J20:J25)</f>
        <v>75031</v>
      </c>
      <c r="K26" s="28">
        <f>SUM(K20:K25)</f>
        <v>83554</v>
      </c>
      <c r="L26" s="29">
        <f t="shared" si="2"/>
        <v>0.11359304820674121</v>
      </c>
      <c r="N26" s="10"/>
      <c r="U26" s="13"/>
      <c r="V26" s="13"/>
      <c r="W26" s="13"/>
    </row>
    <row r="27" spans="1:23" s="30" customFormat="1" ht="15">
      <c r="A27" s="70" t="s">
        <v>39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31">
        <v>6476240</v>
      </c>
      <c r="I27" s="31">
        <v>7422126</v>
      </c>
      <c r="J27" s="32">
        <v>7422125</v>
      </c>
      <c r="K27" s="32">
        <v>7423544</v>
      </c>
      <c r="L27" s="33">
        <f t="shared" si="2"/>
        <v>0.00019118513902689595</v>
      </c>
      <c r="N27" s="10"/>
      <c r="U27" s="13"/>
      <c r="V27" s="13"/>
      <c r="W27" s="13"/>
    </row>
    <row r="28" spans="1:23" s="30" customFormat="1" ht="15.75" thickBot="1">
      <c r="A28" s="74" t="s">
        <v>40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22">
        <f>+H26+H27</f>
        <v>6545459</v>
      </c>
      <c r="I28" s="22">
        <f>+I26+I27</f>
        <v>7497156</v>
      </c>
      <c r="J28" s="23">
        <f>+J26+J27</f>
        <v>7497156</v>
      </c>
      <c r="K28" s="23">
        <f>+K26+K27</f>
        <v>7507098</v>
      </c>
      <c r="L28" s="34">
        <f t="shared" si="2"/>
        <v>0.001326102858203831</v>
      </c>
      <c r="N28" s="10"/>
      <c r="U28" s="13"/>
      <c r="V28" s="13"/>
      <c r="W28" s="13"/>
    </row>
    <row r="29" spans="1:14" s="13" customFormat="1" ht="15" hidden="1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9">
        <f>435123458+25000000</f>
        <v>460123458</v>
      </c>
      <c r="I29" s="9">
        <f>435123458+25000000</f>
        <v>460123458</v>
      </c>
      <c r="J29" s="18">
        <f>435123458+25000000</f>
        <v>460123458</v>
      </c>
      <c r="K29" s="18">
        <f>435123458+25000000</f>
        <v>460123458</v>
      </c>
      <c r="L29" s="19"/>
      <c r="N29" s="10"/>
    </row>
    <row r="30" spans="1:14" s="13" customFormat="1" ht="15" hidden="1">
      <c r="A30" s="17" t="s">
        <v>3</v>
      </c>
      <c r="B30" s="35">
        <f aca="true" t="shared" si="5" ref="B30:K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35">
        <f t="shared" si="5"/>
        <v>14075.005060924323</v>
      </c>
      <c r="I30" s="35">
        <f t="shared" si="5"/>
        <v>16130.727244947375</v>
      </c>
      <c r="J30" s="36">
        <f t="shared" si="5"/>
        <v>16130.725071617626</v>
      </c>
      <c r="K30" s="36">
        <f t="shared" si="5"/>
        <v>16133.809026533047</v>
      </c>
      <c r="L30" s="19"/>
      <c r="N30" s="10"/>
    </row>
    <row r="31" spans="1:18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R31" s="38"/>
    </row>
    <row r="32" spans="1:18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R32" s="38"/>
    </row>
    <row r="33" spans="1:19" ht="21">
      <c r="A33" s="5" t="s">
        <v>79</v>
      </c>
      <c r="B33" s="5"/>
      <c r="C33" s="5"/>
      <c r="D33" s="5"/>
      <c r="E33" s="5"/>
      <c r="F33" s="5"/>
      <c r="G33" s="5"/>
      <c r="M33" s="3"/>
      <c r="N33" s="3"/>
      <c r="O33" s="3"/>
      <c r="P33" s="3"/>
      <c r="Q33" s="3"/>
      <c r="R33" s="39"/>
      <c r="S33" s="4"/>
    </row>
    <row r="34" spans="1:19" ht="15.75">
      <c r="A34" s="75" t="s">
        <v>42</v>
      </c>
      <c r="B34" s="6"/>
      <c r="C34" s="6"/>
      <c r="D34" s="6"/>
      <c r="E34" s="6"/>
      <c r="F34" s="6"/>
      <c r="G34" s="6"/>
      <c r="M34" s="3"/>
      <c r="N34" s="3"/>
      <c r="O34" s="3"/>
      <c r="P34" s="3"/>
      <c r="Q34" s="3"/>
      <c r="R34" s="39"/>
      <c r="S34" s="4"/>
    </row>
    <row r="35" spans="1:19" ht="15">
      <c r="A35" s="7" t="s">
        <v>16</v>
      </c>
      <c r="B35" s="7"/>
      <c r="C35" s="7"/>
      <c r="D35" s="7"/>
      <c r="E35" s="7"/>
      <c r="F35" s="7"/>
      <c r="G35" s="7"/>
      <c r="M35" s="3"/>
      <c r="N35" s="3"/>
      <c r="O35" s="3"/>
      <c r="P35" s="3"/>
      <c r="Q35" s="3"/>
      <c r="R35" s="39"/>
      <c r="S35" s="4"/>
    </row>
    <row r="36" spans="8:18" s="13" customFormat="1" ht="15">
      <c r="H36" s="9"/>
      <c r="I36" s="9"/>
      <c r="J36" s="9"/>
      <c r="K36" s="9"/>
      <c r="L36" s="10"/>
      <c r="R36" s="38"/>
    </row>
    <row r="37" spans="2:21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4">
        <v>2011</v>
      </c>
      <c r="I37" s="14">
        <v>2012</v>
      </c>
      <c r="J37" s="15" t="s">
        <v>4</v>
      </c>
      <c r="K37" s="15" t="s">
        <v>5</v>
      </c>
      <c r="L37" s="15" t="s">
        <v>6</v>
      </c>
      <c r="M37" s="15" t="s">
        <v>7</v>
      </c>
      <c r="N37" s="15" t="s">
        <v>8</v>
      </c>
      <c r="O37" s="15" t="s">
        <v>9</v>
      </c>
      <c r="P37" s="15" t="s">
        <v>10</v>
      </c>
      <c r="Q37" s="15" t="s">
        <v>11</v>
      </c>
      <c r="R37" s="40" t="s">
        <v>0</v>
      </c>
      <c r="S37" s="41" t="s">
        <v>12</v>
      </c>
      <c r="T37" s="41" t="s">
        <v>13</v>
      </c>
      <c r="U37" s="40" t="s">
        <v>0</v>
      </c>
    </row>
    <row r="38" spans="1:23" s="30" customFormat="1" ht="15">
      <c r="A38" s="13" t="s">
        <v>66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8">
        <v>223644</v>
      </c>
      <c r="I38" s="8">
        <v>312990</v>
      </c>
      <c r="J38" s="28">
        <v>55583</v>
      </c>
      <c r="K38" s="28">
        <v>77093</v>
      </c>
      <c r="L38" s="28">
        <f>130102-J38</f>
        <v>74519</v>
      </c>
      <c r="M38" s="28">
        <f>165449-K38</f>
        <v>88356</v>
      </c>
      <c r="N38" s="28">
        <v>88047</v>
      </c>
      <c r="O38" s="28">
        <v>91080</v>
      </c>
      <c r="P38" s="28">
        <f>312990-J38-L38-N38</f>
        <v>94841</v>
      </c>
      <c r="Q38" s="28">
        <f>344939-K38-M38-O38</f>
        <v>88410</v>
      </c>
      <c r="R38" s="19">
        <f>IF(P38&lt;&gt;0,(Q38-P38)/P38,0)</f>
        <v>-0.06780822639997469</v>
      </c>
      <c r="S38" s="42">
        <v>312990</v>
      </c>
      <c r="T38" s="42">
        <v>344939</v>
      </c>
      <c r="U38" s="19">
        <f>IF(S38&lt;&gt;0,(T38-S38)/S38,0)</f>
        <v>0.10207674366593182</v>
      </c>
      <c r="W38" s="43"/>
    </row>
    <row r="39" spans="1:23" s="13" customFormat="1" ht="15">
      <c r="A39" s="13" t="s">
        <v>67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9">
        <v>11024</v>
      </c>
      <c r="I39" s="9">
        <v>0</v>
      </c>
      <c r="J39" s="18">
        <v>0</v>
      </c>
      <c r="K39" s="18">
        <v>0</v>
      </c>
      <c r="L39" s="18">
        <v>0</v>
      </c>
      <c r="M39" s="18">
        <v>-176</v>
      </c>
      <c r="N39" s="28">
        <v>0</v>
      </c>
      <c r="O39" s="28">
        <v>0</v>
      </c>
      <c r="P39" s="28">
        <v>0</v>
      </c>
      <c r="Q39" s="28">
        <v>0</v>
      </c>
      <c r="R39" s="19">
        <f aca="true" t="shared" si="6" ref="R39:R49">IF(P39&lt;&gt;0,(Q39-P39)/P39,0)</f>
        <v>0</v>
      </c>
      <c r="S39" s="44">
        <v>0</v>
      </c>
      <c r="T39" s="44">
        <v>-176</v>
      </c>
      <c r="U39" s="19">
        <f aca="true" t="shared" si="7" ref="U39:U48">IF(S39&lt;&gt;0,(T39-S39)/S39,0)</f>
        <v>0</v>
      </c>
      <c r="W39" s="43"/>
    </row>
    <row r="40" spans="1:23" s="30" customFormat="1" ht="15">
      <c r="A40" s="13" t="s">
        <v>68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9">
        <v>33432</v>
      </c>
      <c r="I40" s="9">
        <v>35105</v>
      </c>
      <c r="J40" s="18">
        <v>8296</v>
      </c>
      <c r="K40" s="18">
        <v>8803</v>
      </c>
      <c r="L40" s="18">
        <f>17500-J40</f>
        <v>9204</v>
      </c>
      <c r="M40" s="18">
        <f>18664-K40</f>
        <v>9861</v>
      </c>
      <c r="N40" s="18">
        <v>8803</v>
      </c>
      <c r="O40" s="18">
        <v>11140</v>
      </c>
      <c r="P40" s="18">
        <f>35105-J40-L40-N40</f>
        <v>8802</v>
      </c>
      <c r="Q40" s="18">
        <f>39426-K40-M40-O40</f>
        <v>9622</v>
      </c>
      <c r="R40" s="19">
        <f t="shared" si="6"/>
        <v>0.09316064530788457</v>
      </c>
      <c r="S40" s="44">
        <v>35105</v>
      </c>
      <c r="T40" s="44">
        <v>39426</v>
      </c>
      <c r="U40" s="19">
        <f t="shared" si="7"/>
        <v>0.1230878792194844</v>
      </c>
      <c r="W40" s="43"/>
    </row>
    <row r="41" spans="1:23" s="30" customFormat="1" ht="15">
      <c r="A41" s="13" t="s">
        <v>69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9">
        <v>7221</v>
      </c>
      <c r="I41" s="9">
        <v>8379</v>
      </c>
      <c r="J41" s="18">
        <v>2095</v>
      </c>
      <c r="K41" s="18">
        <v>2650</v>
      </c>
      <c r="L41" s="18">
        <f>4189-J41</f>
        <v>2094</v>
      </c>
      <c r="M41" s="18">
        <f>5570-K41</f>
        <v>2920</v>
      </c>
      <c r="N41" s="18">
        <v>2094</v>
      </c>
      <c r="O41" s="18">
        <v>3537</v>
      </c>
      <c r="P41" s="18">
        <f>8379-J41-L41-N41</f>
        <v>2096</v>
      </c>
      <c r="Q41" s="18">
        <f>14465-K41-M41-O41</f>
        <v>5358</v>
      </c>
      <c r="R41" s="19">
        <f t="shared" si="6"/>
        <v>1.5562977099236641</v>
      </c>
      <c r="S41" s="44">
        <v>8379</v>
      </c>
      <c r="T41" s="44">
        <v>14465</v>
      </c>
      <c r="U41" s="19">
        <f t="shared" si="7"/>
        <v>0.7263396586704858</v>
      </c>
      <c r="W41" s="43"/>
    </row>
    <row r="42" spans="1:23" s="30" customFormat="1" ht="15">
      <c r="A42" s="30" t="s">
        <v>70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8">
        <f aca="true" t="shared" si="9" ref="H42:Q42">SUM(H38:H41)</f>
        <v>275321</v>
      </c>
      <c r="I42" s="8">
        <f t="shared" si="9"/>
        <v>356474</v>
      </c>
      <c r="J42" s="28">
        <f t="shared" si="9"/>
        <v>65974</v>
      </c>
      <c r="K42" s="28">
        <f t="shared" si="9"/>
        <v>88546</v>
      </c>
      <c r="L42" s="28">
        <f t="shared" si="9"/>
        <v>85817</v>
      </c>
      <c r="M42" s="28">
        <f t="shared" si="9"/>
        <v>100961</v>
      </c>
      <c r="N42" s="28">
        <f t="shared" si="9"/>
        <v>98944</v>
      </c>
      <c r="O42" s="28">
        <f t="shared" si="9"/>
        <v>105757</v>
      </c>
      <c r="P42" s="28">
        <f t="shared" si="9"/>
        <v>105739</v>
      </c>
      <c r="Q42" s="28">
        <f t="shared" si="9"/>
        <v>103390</v>
      </c>
      <c r="R42" s="19">
        <f t="shared" si="6"/>
        <v>-0.022215076745571643</v>
      </c>
      <c r="S42" s="42">
        <f>SUM(S38:S41)</f>
        <v>356474</v>
      </c>
      <c r="T42" s="42">
        <f>SUM(T38:T41)</f>
        <v>398654</v>
      </c>
      <c r="U42" s="19">
        <f t="shared" si="7"/>
        <v>0.11832560018402465</v>
      </c>
      <c r="W42" s="43"/>
    </row>
    <row r="43" spans="1:23" s="13" customFormat="1" ht="15">
      <c r="A43" s="13" t="s">
        <v>71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9">
        <v>-9004</v>
      </c>
      <c r="I43" s="9">
        <v>-10090</v>
      </c>
      <c r="J43" s="18">
        <v>-8176</v>
      </c>
      <c r="K43" s="18">
        <f>-2393-5938</f>
        <v>-8331</v>
      </c>
      <c r="L43" s="18">
        <f>-4827.592907-J43</f>
        <v>3348.407093</v>
      </c>
      <c r="M43" s="18">
        <f>-6685-K43</f>
        <v>1646</v>
      </c>
      <c r="N43" s="18">
        <v>-2647</v>
      </c>
      <c r="O43" s="18">
        <v>-3043</v>
      </c>
      <c r="P43" s="18">
        <f>-10090-J43-L43-N43</f>
        <v>-2615.407093</v>
      </c>
      <c r="Q43" s="18">
        <f>-13551-K43-M43-O43</f>
        <v>-3823</v>
      </c>
      <c r="R43" s="19">
        <f t="shared" si="6"/>
        <v>0.46172273151359855</v>
      </c>
      <c r="S43" s="44">
        <v>-10090</v>
      </c>
      <c r="T43" s="44">
        <v>-13551</v>
      </c>
      <c r="U43" s="19">
        <f t="shared" si="7"/>
        <v>0.3430128840436075</v>
      </c>
      <c r="W43" s="43"/>
    </row>
    <row r="44" spans="1:23" s="30" customFormat="1" ht="15">
      <c r="A44" s="30" t="s">
        <v>72</v>
      </c>
      <c r="B44" s="8">
        <f aca="true" t="shared" si="10" ref="B44:G44">SUM(B42:B43)</f>
        <v>168810</v>
      </c>
      <c r="C44" s="8">
        <f t="shared" si="10"/>
        <v>202580</v>
      </c>
      <c r="D44" s="8">
        <f t="shared" si="10"/>
        <v>244681</v>
      </c>
      <c r="E44" s="8">
        <f t="shared" si="10"/>
        <v>290753</v>
      </c>
      <c r="F44" s="8">
        <f t="shared" si="10"/>
        <v>227228</v>
      </c>
      <c r="G44" s="8">
        <f t="shared" si="10"/>
        <v>273936</v>
      </c>
      <c r="H44" s="8">
        <f aca="true" t="shared" si="11" ref="H44:Q44">SUM(H42:H43)</f>
        <v>266317</v>
      </c>
      <c r="I44" s="8">
        <f t="shared" si="11"/>
        <v>346384</v>
      </c>
      <c r="J44" s="28">
        <f t="shared" si="11"/>
        <v>57798</v>
      </c>
      <c r="K44" s="28">
        <f t="shared" si="11"/>
        <v>80215</v>
      </c>
      <c r="L44" s="28">
        <f t="shared" si="11"/>
        <v>89165.407093</v>
      </c>
      <c r="M44" s="28">
        <f t="shared" si="11"/>
        <v>102607</v>
      </c>
      <c r="N44" s="28">
        <f t="shared" si="11"/>
        <v>96297</v>
      </c>
      <c r="O44" s="28">
        <f t="shared" si="11"/>
        <v>102714</v>
      </c>
      <c r="P44" s="28">
        <f t="shared" si="11"/>
        <v>103123.592907</v>
      </c>
      <c r="Q44" s="28">
        <f t="shared" si="11"/>
        <v>99567</v>
      </c>
      <c r="R44" s="19">
        <f t="shared" si="6"/>
        <v>-0.03448864422525932</v>
      </c>
      <c r="S44" s="42">
        <f>SUM(S42:S43)</f>
        <v>346384</v>
      </c>
      <c r="T44" s="42">
        <f>SUM(T42:T43)</f>
        <v>385103</v>
      </c>
      <c r="U44" s="19">
        <f t="shared" si="7"/>
        <v>0.1117805672317428</v>
      </c>
      <c r="W44" s="43"/>
    </row>
    <row r="45" spans="1:23" s="30" customFormat="1" ht="15">
      <c r="A45" s="13" t="s">
        <v>73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9">
        <v>814</v>
      </c>
      <c r="I45" s="9">
        <v>851</v>
      </c>
      <c r="J45" s="18">
        <v>652</v>
      </c>
      <c r="K45" s="18">
        <v>61</v>
      </c>
      <c r="L45" s="18">
        <f>743.423097-J45</f>
        <v>91.42309699999998</v>
      </c>
      <c r="M45" s="18">
        <f>112-K45</f>
        <v>51</v>
      </c>
      <c r="N45" s="18">
        <v>27.000000000000114</v>
      </c>
      <c r="O45" s="18">
        <v>130</v>
      </c>
      <c r="P45" s="18">
        <f>851-J45-L45-N45</f>
        <v>80.5769029999999</v>
      </c>
      <c r="Q45" s="18">
        <f>203-K45-M45-O45</f>
        <v>-39</v>
      </c>
      <c r="R45" s="19">
        <f t="shared" si="6"/>
        <v>-1.484009667137493</v>
      </c>
      <c r="S45" s="44">
        <v>851</v>
      </c>
      <c r="T45" s="44">
        <v>203</v>
      </c>
      <c r="U45" s="19">
        <f t="shared" si="7"/>
        <v>-0.7614571092831962</v>
      </c>
      <c r="W45" s="43"/>
    </row>
    <row r="46" spans="1:23" s="13" customFormat="1" ht="15">
      <c r="A46" s="13" t="s">
        <v>74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9">
        <v>-11022</v>
      </c>
      <c r="I46" s="9">
        <v>-1390</v>
      </c>
      <c r="J46" s="18">
        <v>-25</v>
      </c>
      <c r="K46" s="18">
        <v>-127</v>
      </c>
      <c r="L46" s="18">
        <f>-599.521351-J46</f>
        <v>-574.521351</v>
      </c>
      <c r="M46" s="18">
        <f>-2966-K46</f>
        <v>-2839</v>
      </c>
      <c r="N46" s="18">
        <v>-706.9999999999999</v>
      </c>
      <c r="O46" s="18">
        <v>-18</v>
      </c>
      <c r="P46" s="18">
        <f>-1390-J46-L46-N46</f>
        <v>-83.47864900000013</v>
      </c>
      <c r="Q46" s="18">
        <f>-2974-K46-M46-O46</f>
        <v>10</v>
      </c>
      <c r="R46" s="19">
        <f t="shared" si="6"/>
        <v>-1.1197911097003976</v>
      </c>
      <c r="S46" s="44">
        <v>-1390</v>
      </c>
      <c r="T46" s="44">
        <v>-2974</v>
      </c>
      <c r="U46" s="19">
        <f t="shared" si="7"/>
        <v>1.139568345323741</v>
      </c>
      <c r="W46" s="43"/>
    </row>
    <row r="47" spans="1:23" s="30" customFormat="1" ht="15">
      <c r="A47" s="30" t="s">
        <v>75</v>
      </c>
      <c r="B47" s="8">
        <f aca="true" t="shared" si="12" ref="B47:G47">SUM(B44:B46)</f>
        <v>172912</v>
      </c>
      <c r="C47" s="8">
        <f t="shared" si="12"/>
        <v>210911</v>
      </c>
      <c r="D47" s="8">
        <f t="shared" si="12"/>
        <v>244482</v>
      </c>
      <c r="E47" s="8">
        <f t="shared" si="12"/>
        <v>291080</v>
      </c>
      <c r="F47" s="8">
        <f t="shared" si="12"/>
        <v>225701</v>
      </c>
      <c r="G47" s="8">
        <f t="shared" si="12"/>
        <v>280279</v>
      </c>
      <c r="H47" s="8">
        <f aca="true" t="shared" si="13" ref="H47:Q47">SUM(H44:H46)</f>
        <v>256109</v>
      </c>
      <c r="I47" s="8">
        <f t="shared" si="13"/>
        <v>345845</v>
      </c>
      <c r="J47" s="28">
        <f t="shared" si="13"/>
        <v>58425</v>
      </c>
      <c r="K47" s="28">
        <f t="shared" si="13"/>
        <v>80149</v>
      </c>
      <c r="L47" s="28">
        <f t="shared" si="13"/>
        <v>88682.308839</v>
      </c>
      <c r="M47" s="28">
        <f t="shared" si="13"/>
        <v>99819</v>
      </c>
      <c r="N47" s="28">
        <f t="shared" si="13"/>
        <v>95617</v>
      </c>
      <c r="O47" s="28">
        <f t="shared" si="13"/>
        <v>102826</v>
      </c>
      <c r="P47" s="28">
        <f t="shared" si="13"/>
        <v>103120.691161</v>
      </c>
      <c r="Q47" s="28">
        <f t="shared" si="13"/>
        <v>99538</v>
      </c>
      <c r="R47" s="19">
        <f t="shared" si="6"/>
        <v>-0.03474269926494597</v>
      </c>
      <c r="S47" s="42">
        <f>SUM(S44:S46)</f>
        <v>345845</v>
      </c>
      <c r="T47" s="42">
        <f>SUM(T44:T46)</f>
        <v>382332</v>
      </c>
      <c r="U47" s="19">
        <f t="shared" si="7"/>
        <v>0.10550101924272434</v>
      </c>
      <c r="W47" s="43"/>
    </row>
    <row r="48" spans="1:23" s="13" customFormat="1" ht="15">
      <c r="A48" s="13" t="s">
        <v>76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9">
        <v>-127</v>
      </c>
      <c r="I48" s="9">
        <v>-361</v>
      </c>
      <c r="J48" s="18">
        <v>-8</v>
      </c>
      <c r="K48" s="18">
        <v>-2289</v>
      </c>
      <c r="L48" s="18">
        <f>-18.162-J48</f>
        <v>-10.161999999999999</v>
      </c>
      <c r="M48" s="18">
        <f>-1378-K48</f>
        <v>911</v>
      </c>
      <c r="N48" s="18">
        <v>-261</v>
      </c>
      <c r="O48" s="18">
        <v>-496</v>
      </c>
      <c r="P48" s="18">
        <f>-361-J48-L48-N48</f>
        <v>-81.83800000000002</v>
      </c>
      <c r="Q48" s="18">
        <f>-2436-K48-M48-O48</f>
        <v>-562</v>
      </c>
      <c r="R48" s="19">
        <f t="shared" si="6"/>
        <v>5.867225494269164</v>
      </c>
      <c r="S48" s="44">
        <v>-361</v>
      </c>
      <c r="T48" s="44">
        <v>-2436</v>
      </c>
      <c r="U48" s="19">
        <f t="shared" si="7"/>
        <v>5.747922437673131</v>
      </c>
      <c r="W48" s="43"/>
    </row>
    <row r="49" spans="1:23" s="13" customFormat="1" ht="15.75" thickBot="1">
      <c r="A49" s="45" t="s">
        <v>77</v>
      </c>
      <c r="B49" s="46">
        <f aca="true" t="shared" si="14" ref="B49:G49">SUM(B47:B48)</f>
        <v>169411</v>
      </c>
      <c r="C49" s="46">
        <f t="shared" si="14"/>
        <v>210697</v>
      </c>
      <c r="D49" s="46">
        <f t="shared" si="14"/>
        <v>244292</v>
      </c>
      <c r="E49" s="46">
        <f t="shared" si="14"/>
        <v>291006</v>
      </c>
      <c r="F49" s="46">
        <f t="shared" si="14"/>
        <v>225496</v>
      </c>
      <c r="G49" s="46">
        <f t="shared" si="14"/>
        <v>278403</v>
      </c>
      <c r="H49" s="46">
        <f aca="true" t="shared" si="15" ref="H49:Q49">SUM(H47:H48)</f>
        <v>255982</v>
      </c>
      <c r="I49" s="46">
        <f t="shared" si="15"/>
        <v>345484</v>
      </c>
      <c r="J49" s="47">
        <f t="shared" si="15"/>
        <v>58417</v>
      </c>
      <c r="K49" s="47">
        <f t="shared" si="15"/>
        <v>77860</v>
      </c>
      <c r="L49" s="47">
        <f t="shared" si="15"/>
        <v>88672.14683900001</v>
      </c>
      <c r="M49" s="47">
        <f t="shared" si="15"/>
        <v>100730</v>
      </c>
      <c r="N49" s="47">
        <f>SUM(N47:N48)</f>
        <v>95356</v>
      </c>
      <c r="O49" s="47">
        <f t="shared" si="15"/>
        <v>102330</v>
      </c>
      <c r="P49" s="47">
        <f t="shared" si="15"/>
        <v>103038.85316099999</v>
      </c>
      <c r="Q49" s="47">
        <f t="shared" si="15"/>
        <v>98976</v>
      </c>
      <c r="R49" s="34">
        <f t="shared" si="6"/>
        <v>-0.03943030261266314</v>
      </c>
      <c r="S49" s="48">
        <f>SUM(S47:S48)</f>
        <v>345484</v>
      </c>
      <c r="T49" s="48">
        <f>SUM(T47:T48)</f>
        <v>379896</v>
      </c>
      <c r="U49" s="34">
        <f>IF(S49&lt;&gt;0,(T49-S49)/S49,0)</f>
        <v>0.09960519155735142</v>
      </c>
      <c r="W49" s="43"/>
    </row>
    <row r="50" spans="3:23" s="13" customFormat="1" ht="15">
      <c r="C50" s="8"/>
      <c r="H50" s="9"/>
      <c r="I50" s="9"/>
      <c r="J50" s="9"/>
      <c r="K50" s="9"/>
      <c r="L50" s="10"/>
      <c r="W50" s="43"/>
    </row>
    <row r="51" spans="3:12" s="13" customFormat="1" ht="15"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1">
      <pane xSplit="1" ySplit="10" topLeftCell="J3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0" sqref="A40:A59"/>
    </sheetView>
  </sheetViews>
  <sheetFormatPr defaultColWidth="11.421875" defaultRowHeight="12.75"/>
  <cols>
    <col min="1" max="1" width="45.57421875" style="1" bestFit="1" customWidth="1"/>
    <col min="2" max="4" width="10.421875" style="1" bestFit="1" customWidth="1"/>
    <col min="5" max="7" width="11.140625" style="1" bestFit="1" customWidth="1"/>
    <col min="8" max="10" width="11.140625" style="2" bestFit="1" customWidth="1"/>
    <col min="11" max="11" width="11.57421875" style="2" bestFit="1" customWidth="1"/>
    <col min="12" max="12" width="11.140625" style="3" bestFit="1" customWidth="1"/>
    <col min="13" max="13" width="10.28125" style="3" bestFit="1" customWidth="1"/>
    <col min="14" max="15" width="10.28125" style="3" customWidth="1"/>
    <col min="16" max="17" width="10.421875" style="4" bestFit="1" customWidth="1"/>
    <col min="18" max="18" width="10.28125" style="1" bestFit="1" customWidth="1"/>
    <col min="19" max="16384" width="11.421875" style="1" customWidth="1"/>
  </cols>
  <sheetData>
    <row r="1" ht="15"/>
    <row r="2" ht="15"/>
    <row r="3" ht="15"/>
    <row r="4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15</v>
      </c>
      <c r="B7" s="6"/>
      <c r="C7" s="6"/>
      <c r="D7" s="6"/>
      <c r="E7" s="6"/>
      <c r="F7" s="6"/>
      <c r="G7" s="6"/>
    </row>
    <row r="8" spans="1:7" ht="15">
      <c r="A8" s="7" t="s">
        <v>16</v>
      </c>
      <c r="B8" s="7"/>
      <c r="C8" s="7"/>
      <c r="D8" s="7"/>
      <c r="E8" s="7"/>
      <c r="F8" s="7"/>
      <c r="G8" s="7"/>
    </row>
    <row r="9" spans="8:21" s="13" customFormat="1" ht="15">
      <c r="H9" s="9"/>
      <c r="I9" s="9"/>
      <c r="J9" s="9"/>
      <c r="K9" s="9"/>
      <c r="L9" s="10"/>
      <c r="M9" s="10"/>
      <c r="N9" s="10"/>
      <c r="O9" s="10"/>
      <c r="P9" s="11"/>
      <c r="Q9" s="11"/>
      <c r="R9" s="12"/>
      <c r="S9" s="12"/>
      <c r="T9" s="12"/>
      <c r="U9" s="12"/>
    </row>
    <row r="10" spans="1:21" s="13" customFormat="1" ht="15.75" thickBot="1">
      <c r="A10" s="49" t="s">
        <v>17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50">
        <v>2011</v>
      </c>
      <c r="I10" s="50">
        <v>2012</v>
      </c>
      <c r="J10" s="41">
        <v>2012</v>
      </c>
      <c r="K10" s="15">
        <v>2013</v>
      </c>
      <c r="L10" s="51" t="s">
        <v>0</v>
      </c>
      <c r="P10" s="11"/>
      <c r="Q10" s="11"/>
      <c r="R10" s="52"/>
      <c r="S10" s="12"/>
      <c r="T10" s="12"/>
      <c r="U10" s="12"/>
    </row>
    <row r="11" spans="1:21" s="13" customFormat="1" ht="15">
      <c r="A11" s="53" t="s">
        <v>18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54">
        <v>193087</v>
      </c>
      <c r="I11" s="54">
        <v>291812</v>
      </c>
      <c r="J11" s="44">
        <v>291812</v>
      </c>
      <c r="K11" s="55">
        <v>415478</v>
      </c>
      <c r="L11" s="19">
        <f aca="true" t="shared" si="0" ref="L11:L16">+(K11-J11)/J11</f>
        <v>0.423786547503187</v>
      </c>
      <c r="P11" s="11"/>
      <c r="Q11" s="11"/>
      <c r="R11" s="56"/>
      <c r="S11" s="12"/>
      <c r="T11" s="12"/>
      <c r="U11" s="12"/>
    </row>
    <row r="12" spans="1:21" s="13" customFormat="1" ht="15">
      <c r="A12" s="53" t="s">
        <v>19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54">
        <v>329071</v>
      </c>
      <c r="I12" s="54">
        <v>330090</v>
      </c>
      <c r="J12" s="44">
        <v>330090</v>
      </c>
      <c r="K12" s="55">
        <v>357830</v>
      </c>
      <c r="L12" s="19">
        <f t="shared" si="0"/>
        <v>0.08403768669150838</v>
      </c>
      <c r="P12" s="57"/>
      <c r="Q12" s="11"/>
      <c r="R12" s="52"/>
      <c r="S12" s="12"/>
      <c r="T12" s="12"/>
      <c r="U12" s="12"/>
    </row>
    <row r="13" spans="1:21" s="13" customFormat="1" ht="15">
      <c r="A13" s="53" t="s">
        <v>20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54">
        <v>650631</v>
      </c>
      <c r="I13" s="54">
        <v>681860</v>
      </c>
      <c r="J13" s="44">
        <v>681860</v>
      </c>
      <c r="K13" s="55">
        <v>857299</v>
      </c>
      <c r="L13" s="19">
        <f t="shared" si="0"/>
        <v>0.2572947525885079</v>
      </c>
      <c r="P13" s="11"/>
      <c r="Q13" s="11"/>
      <c r="R13" s="52"/>
      <c r="S13" s="12"/>
      <c r="T13" s="12"/>
      <c r="U13" s="12"/>
    </row>
    <row r="14" spans="1:21" s="13" customFormat="1" ht="15">
      <c r="A14" s="53" t="s">
        <v>21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54">
        <v>601866</v>
      </c>
      <c r="I14" s="54">
        <v>555796</v>
      </c>
      <c r="J14" s="44">
        <v>555795</v>
      </c>
      <c r="K14" s="55">
        <v>725323</v>
      </c>
      <c r="L14" s="19">
        <f t="shared" si="0"/>
        <v>0.30501893683822273</v>
      </c>
      <c r="P14" s="11"/>
      <c r="Q14" s="11"/>
      <c r="R14" s="52"/>
      <c r="S14" s="12"/>
      <c r="T14" s="12"/>
      <c r="U14" s="12"/>
    </row>
    <row r="15" spans="1:21" s="13" customFormat="1" ht="15">
      <c r="A15" s="53" t="s">
        <v>22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54">
        <v>1009855</v>
      </c>
      <c r="I15" s="54">
        <v>1135785</v>
      </c>
      <c r="J15" s="44">
        <v>1135785</v>
      </c>
      <c r="K15" s="55">
        <v>1456074</v>
      </c>
      <c r="L15" s="19">
        <f t="shared" si="0"/>
        <v>0.28199791333747143</v>
      </c>
      <c r="P15" s="11"/>
      <c r="Q15" s="11"/>
      <c r="R15" s="52"/>
      <c r="S15" s="12"/>
      <c r="T15" s="12"/>
      <c r="U15" s="12"/>
    </row>
    <row r="16" spans="1:21" s="13" customFormat="1" ht="15">
      <c r="A16" s="53" t="s">
        <v>23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54">
        <v>900384</v>
      </c>
      <c r="I16" s="54">
        <v>1025441</v>
      </c>
      <c r="J16" s="44">
        <v>1025441</v>
      </c>
      <c r="K16" s="55">
        <v>2038332</v>
      </c>
      <c r="L16" s="19">
        <f t="shared" si="0"/>
        <v>0.9877613631598503</v>
      </c>
      <c r="P16" s="11"/>
      <c r="Q16" s="11"/>
      <c r="R16" s="52"/>
      <c r="S16" s="12"/>
      <c r="T16" s="12"/>
      <c r="U16" s="12"/>
    </row>
    <row r="17" spans="1:21" s="13" customFormat="1" ht="15">
      <c r="A17" s="53" t="s">
        <v>24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54">
        <v>130401</v>
      </c>
      <c r="I17" s="54">
        <v>57452</v>
      </c>
      <c r="J17" s="44">
        <v>57452</v>
      </c>
      <c r="K17" s="55">
        <v>101223</v>
      </c>
      <c r="L17" s="19">
        <f>+(K17-J17)/J17</f>
        <v>0.7618707790851493</v>
      </c>
      <c r="P17" s="11"/>
      <c r="Q17" s="11"/>
      <c r="R17" s="52"/>
      <c r="S17" s="12"/>
      <c r="T17" s="12"/>
      <c r="U17" s="12"/>
    </row>
    <row r="18" spans="1:21" s="13" customFormat="1" ht="15">
      <c r="A18" s="53" t="s">
        <v>25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54">
        <v>18323</v>
      </c>
      <c r="I18" s="54">
        <v>6913</v>
      </c>
      <c r="J18" s="44">
        <v>6913</v>
      </c>
      <c r="K18" s="55">
        <v>16502</v>
      </c>
      <c r="L18" s="19">
        <f>+(K18-J18)/J18</f>
        <v>1.3870967741935485</v>
      </c>
      <c r="P18" s="11"/>
      <c r="Q18" s="11"/>
      <c r="R18" s="52"/>
      <c r="S18" s="12"/>
      <c r="T18" s="12"/>
      <c r="U18" s="12"/>
    </row>
    <row r="19" spans="1:21" s="13" customFormat="1" ht="15">
      <c r="A19" s="53" t="s">
        <v>26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54">
        <v>4097551</v>
      </c>
      <c r="I19" s="54">
        <v>4866415</v>
      </c>
      <c r="J19" s="44">
        <v>4866415</v>
      </c>
      <c r="K19" s="55">
        <v>4612437</v>
      </c>
      <c r="L19" s="19">
        <f>+(K19-J19)/J19</f>
        <v>-0.0521899591382979</v>
      </c>
      <c r="P19" s="11"/>
      <c r="Q19" s="11"/>
      <c r="R19" s="52"/>
      <c r="S19" s="12"/>
      <c r="T19" s="12"/>
      <c r="U19" s="12"/>
    </row>
    <row r="20" spans="1:21" s="13" customFormat="1" ht="15.75" thickBot="1">
      <c r="A20" s="58" t="s">
        <v>27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59">
        <f>SUM(H11:H19)</f>
        <v>7931169</v>
      </c>
      <c r="I20" s="59">
        <f>SUM(I11:I19)</f>
        <v>8951564</v>
      </c>
      <c r="J20" s="60">
        <f>SUM(J11:J19)</f>
        <v>8951563</v>
      </c>
      <c r="K20" s="61">
        <f>SUM(K11:K19)</f>
        <v>10580498</v>
      </c>
      <c r="L20" s="34">
        <f>+(K20-J20)/J20</f>
        <v>0.18197213157076592</v>
      </c>
      <c r="P20" s="11"/>
      <c r="Q20" s="11"/>
      <c r="R20" s="52"/>
      <c r="S20" s="12"/>
      <c r="T20" s="12"/>
      <c r="U20" s="12"/>
    </row>
    <row r="21" spans="1:21" s="13" customFormat="1" ht="15">
      <c r="A21" s="53"/>
      <c r="B21" s="9"/>
      <c r="C21" s="9"/>
      <c r="D21" s="9"/>
      <c r="E21" s="9"/>
      <c r="F21" s="9"/>
      <c r="G21" s="9"/>
      <c r="H21" s="54"/>
      <c r="I21" s="54"/>
      <c r="J21" s="44"/>
      <c r="K21" s="55"/>
      <c r="L21" s="19"/>
      <c r="P21" s="11"/>
      <c r="Q21" s="11"/>
      <c r="R21" s="52"/>
      <c r="S21" s="12"/>
      <c r="T21" s="12"/>
      <c r="U21" s="12"/>
    </row>
    <row r="22" spans="1:21" s="13" customFormat="1" ht="15">
      <c r="A22" s="49" t="s">
        <v>28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63">
        <v>2011</v>
      </c>
      <c r="I22" s="63">
        <v>2012</v>
      </c>
      <c r="J22" s="64">
        <v>2012</v>
      </c>
      <c r="K22" s="65">
        <v>2013</v>
      </c>
      <c r="L22" s="66" t="s">
        <v>0</v>
      </c>
      <c r="P22" s="11"/>
      <c r="Q22" s="11"/>
      <c r="R22" s="56"/>
      <c r="S22" s="12"/>
      <c r="T22" s="12"/>
      <c r="U22" s="12"/>
    </row>
    <row r="23" spans="1:21" s="13" customFormat="1" ht="15">
      <c r="A23" s="53" t="s">
        <v>29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54">
        <v>679598</v>
      </c>
      <c r="I23" s="54">
        <v>690354</v>
      </c>
      <c r="J23" s="44">
        <v>690354</v>
      </c>
      <c r="K23" s="55">
        <v>1996737</v>
      </c>
      <c r="L23" s="19">
        <f aca="true" t="shared" si="1" ref="L23:L34">+(K23-J23)/J23</f>
        <v>1.8923378440626113</v>
      </c>
      <c r="P23" s="11"/>
      <c r="Q23" s="11"/>
      <c r="R23" s="52"/>
      <c r="S23" s="12"/>
      <c r="T23" s="12"/>
      <c r="U23" s="12"/>
    </row>
    <row r="24" spans="1:21" s="13" customFormat="1" ht="15">
      <c r="A24" s="53" t="s">
        <v>30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54">
        <v>163168</v>
      </c>
      <c r="I24" s="54">
        <v>170648</v>
      </c>
      <c r="J24" s="44">
        <v>170648</v>
      </c>
      <c r="K24" s="55">
        <v>299136</v>
      </c>
      <c r="L24" s="19">
        <f t="shared" si="1"/>
        <v>0.7529417280015002</v>
      </c>
      <c r="P24" s="11"/>
      <c r="Q24" s="11"/>
      <c r="R24" s="56"/>
      <c r="S24" s="12"/>
      <c r="T24" s="12"/>
      <c r="U24" s="12"/>
    </row>
    <row r="25" spans="1:21" s="13" customFormat="1" ht="15">
      <c r="A25" s="53" t="s">
        <v>31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54">
        <v>217244</v>
      </c>
      <c r="I25" s="54">
        <v>259622</v>
      </c>
      <c r="J25" s="44">
        <v>259623</v>
      </c>
      <c r="K25" s="55">
        <v>339737</v>
      </c>
      <c r="L25" s="19">
        <f t="shared" si="1"/>
        <v>0.3085782076318354</v>
      </c>
      <c r="P25" s="11"/>
      <c r="Q25" s="11"/>
      <c r="R25" s="52"/>
      <c r="S25" s="12"/>
      <c r="T25" s="12"/>
      <c r="U25" s="12"/>
    </row>
    <row r="26" spans="1:21" s="13" customFormat="1" ht="15">
      <c r="A26" s="53" t="s">
        <v>32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54">
        <v>132822</v>
      </c>
      <c r="I26" s="54">
        <v>138203</v>
      </c>
      <c r="J26" s="44">
        <v>138203</v>
      </c>
      <c r="K26" s="55">
        <v>159523</v>
      </c>
      <c r="L26" s="19">
        <f t="shared" si="1"/>
        <v>0.15426582635688083</v>
      </c>
      <c r="P26" s="11"/>
      <c r="Q26" s="11"/>
      <c r="R26" s="52"/>
      <c r="S26" s="12"/>
      <c r="T26" s="12"/>
      <c r="U26" s="12"/>
    </row>
    <row r="27" spans="1:21" s="13" customFormat="1" ht="15">
      <c r="A27" s="53" t="s">
        <v>33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54">
        <v>96429</v>
      </c>
      <c r="I27" s="54">
        <v>109969</v>
      </c>
      <c r="J27" s="44">
        <v>109969</v>
      </c>
      <c r="K27" s="55">
        <v>138378</v>
      </c>
      <c r="L27" s="19">
        <f t="shared" si="1"/>
        <v>0.2583364402695305</v>
      </c>
      <c r="P27" s="11"/>
      <c r="Q27" s="11"/>
      <c r="R27" s="52"/>
      <c r="S27" s="12"/>
      <c r="T27" s="12"/>
      <c r="U27" s="12"/>
    </row>
    <row r="28" spans="1:21" s="13" customFormat="1" ht="15">
      <c r="A28" s="53" t="s">
        <v>34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54">
        <v>33608</v>
      </c>
      <c r="I28" s="54">
        <v>28288</v>
      </c>
      <c r="J28" s="44">
        <v>28288</v>
      </c>
      <c r="K28" s="55">
        <v>54184</v>
      </c>
      <c r="L28" s="19">
        <f t="shared" si="1"/>
        <v>0.9154411764705882</v>
      </c>
      <c r="P28" s="11"/>
      <c r="Q28" s="11"/>
      <c r="R28" s="52"/>
      <c r="S28" s="12"/>
      <c r="T28" s="12"/>
      <c r="U28" s="12"/>
    </row>
    <row r="29" spans="1:21" s="13" customFormat="1" ht="15">
      <c r="A29" s="53" t="s">
        <v>35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54">
        <v>112430</v>
      </c>
      <c r="I29" s="54">
        <v>125466</v>
      </c>
      <c r="J29" s="44">
        <v>125466</v>
      </c>
      <c r="K29" s="55">
        <v>159573</v>
      </c>
      <c r="L29" s="19">
        <f t="shared" si="1"/>
        <v>0.27184257089570085</v>
      </c>
      <c r="P29" s="11"/>
      <c r="Q29" s="11"/>
      <c r="R29" s="52"/>
      <c r="S29" s="12"/>
      <c r="T29" s="12"/>
      <c r="U29" s="12"/>
    </row>
    <row r="30" spans="1:21" s="13" customFormat="1" ht="15">
      <c r="A30" s="53" t="s">
        <v>36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54">
        <v>5031</v>
      </c>
      <c r="I30" s="54">
        <v>3762</v>
      </c>
      <c r="J30" s="44">
        <v>3761</v>
      </c>
      <c r="K30" s="55">
        <v>3159</v>
      </c>
      <c r="L30" s="19">
        <f t="shared" si="1"/>
        <v>-0.1600638128157405</v>
      </c>
      <c r="P30" s="11"/>
      <c r="Q30" s="11"/>
      <c r="R30" s="52"/>
      <c r="S30" s="12"/>
      <c r="T30" s="12"/>
      <c r="U30" s="12"/>
    </row>
    <row r="31" spans="1:21" s="13" customFormat="1" ht="15">
      <c r="A31" s="67" t="s">
        <v>37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68">
        <f>SUM(H23:H30)</f>
        <v>1440330</v>
      </c>
      <c r="I31" s="68">
        <f>SUM(I23:I30)</f>
        <v>1526312</v>
      </c>
      <c r="J31" s="42">
        <f>SUM(J23:J30)</f>
        <v>1526312</v>
      </c>
      <c r="K31" s="69">
        <f>SUM(K23:K30)</f>
        <v>3150427</v>
      </c>
      <c r="L31" s="19">
        <f t="shared" si="1"/>
        <v>1.0640779866763808</v>
      </c>
      <c r="P31" s="11"/>
      <c r="Q31" s="11"/>
      <c r="R31" s="52"/>
      <c r="S31" s="12"/>
      <c r="T31" s="12"/>
      <c r="U31" s="12"/>
    </row>
    <row r="32" spans="1:21" s="13" customFormat="1" ht="15">
      <c r="A32" s="67" t="s">
        <v>38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54">
        <v>16209</v>
      </c>
      <c r="I32" s="54">
        <v>16294</v>
      </c>
      <c r="J32" s="44">
        <v>16294</v>
      </c>
      <c r="K32" s="55">
        <v>19208</v>
      </c>
      <c r="L32" s="19">
        <f t="shared" si="1"/>
        <v>0.17883883638149012</v>
      </c>
      <c r="P32" s="11"/>
      <c r="Q32" s="11"/>
      <c r="R32" s="52"/>
      <c r="S32" s="12"/>
      <c r="T32" s="12"/>
      <c r="U32" s="12"/>
    </row>
    <row r="33" spans="1:21" s="13" customFormat="1" ht="15">
      <c r="A33" s="70" t="s">
        <v>39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71">
        <v>6474630</v>
      </c>
      <c r="I33" s="71">
        <v>7408958</v>
      </c>
      <c r="J33" s="72">
        <v>7408957</v>
      </c>
      <c r="K33" s="73">
        <v>7410863</v>
      </c>
      <c r="L33" s="33">
        <f t="shared" si="1"/>
        <v>0.00025725618329273606</v>
      </c>
      <c r="P33" s="11"/>
      <c r="Q33" s="11"/>
      <c r="R33" s="56"/>
      <c r="S33" s="12"/>
      <c r="T33" s="12"/>
      <c r="U33" s="12"/>
    </row>
    <row r="34" spans="1:21" s="13" customFormat="1" ht="15.75" thickBot="1">
      <c r="A34" s="74" t="s">
        <v>40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59">
        <f>+H31+H32+H33</f>
        <v>7931169</v>
      </c>
      <c r="I34" s="59">
        <f>+I31+I32+I33</f>
        <v>8951564</v>
      </c>
      <c r="J34" s="60">
        <f>+J31+J32+J33</f>
        <v>8951563</v>
      </c>
      <c r="K34" s="61">
        <f>+K31+K32+K33</f>
        <v>10580498</v>
      </c>
      <c r="L34" s="34">
        <f t="shared" si="1"/>
        <v>0.18197213157076592</v>
      </c>
      <c r="P34" s="11"/>
      <c r="Q34" s="11"/>
      <c r="R34" s="56"/>
      <c r="S34" s="12"/>
      <c r="T34" s="12"/>
      <c r="U34" s="12"/>
    </row>
    <row r="35" spans="8:21" s="13" customFormat="1" ht="15">
      <c r="H35" s="9"/>
      <c r="I35" s="9"/>
      <c r="J35" s="9"/>
      <c r="K35" s="9"/>
      <c r="L35" s="10"/>
      <c r="M35" s="38"/>
      <c r="N35" s="38"/>
      <c r="O35" s="38"/>
      <c r="P35" s="11"/>
      <c r="Q35" s="11"/>
      <c r="R35" s="56"/>
      <c r="S35" s="12"/>
      <c r="T35" s="12"/>
      <c r="U35" s="12"/>
    </row>
    <row r="36" spans="1:7" ht="21">
      <c r="A36" s="5" t="s">
        <v>41</v>
      </c>
      <c r="B36" s="5"/>
      <c r="C36" s="5"/>
      <c r="D36" s="5"/>
      <c r="E36" s="5"/>
      <c r="F36" s="5"/>
      <c r="G36" s="5"/>
    </row>
    <row r="37" spans="1:7" ht="15.75">
      <c r="A37" s="75" t="s">
        <v>42</v>
      </c>
      <c r="B37" s="6"/>
      <c r="C37" s="6"/>
      <c r="D37" s="6"/>
      <c r="E37" s="6"/>
      <c r="F37" s="6"/>
      <c r="G37" s="6"/>
    </row>
    <row r="38" spans="1:7" ht="15">
      <c r="A38" s="7" t="s">
        <v>16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15" t="s">
        <v>4</v>
      </c>
      <c r="K39" s="15" t="s">
        <v>5</v>
      </c>
      <c r="L39" s="15" t="s">
        <v>6</v>
      </c>
      <c r="M39" s="15" t="s">
        <v>7</v>
      </c>
      <c r="N39" s="15" t="s">
        <v>8</v>
      </c>
      <c r="O39" s="15" t="s">
        <v>10</v>
      </c>
      <c r="P39" s="51" t="s">
        <v>43</v>
      </c>
      <c r="Q39" s="15" t="s">
        <v>11</v>
      </c>
      <c r="R39" s="51" t="s">
        <v>43</v>
      </c>
      <c r="S39" s="76" t="s">
        <v>0</v>
      </c>
      <c r="T39" s="41" t="s">
        <v>44</v>
      </c>
      <c r="U39" s="77" t="s">
        <v>43</v>
      </c>
      <c r="V39" s="41" t="s">
        <v>45</v>
      </c>
      <c r="W39" s="77" t="s">
        <v>43</v>
      </c>
      <c r="X39" s="78" t="s">
        <v>0</v>
      </c>
    </row>
    <row r="40" spans="1:24" s="30" customFormat="1" ht="15">
      <c r="A40" s="79" t="s">
        <v>46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1">
        <v>1237546</v>
      </c>
      <c r="K40" s="81">
        <v>1242052</v>
      </c>
      <c r="L40" s="81">
        <v>1265469</v>
      </c>
      <c r="M40" s="81">
        <v>1370524</v>
      </c>
      <c r="N40" s="81">
        <v>1329904</v>
      </c>
      <c r="O40" s="81">
        <v>1472863</v>
      </c>
      <c r="P40" s="29">
        <v>1</v>
      </c>
      <c r="Q40" s="81">
        <v>1796994</v>
      </c>
      <c r="R40" s="29">
        <v>1</v>
      </c>
      <c r="S40" s="29">
        <f aca="true" t="shared" si="2" ref="S40:S56">IF(O40&lt;&gt;0,(Q40-O40)/O40,0)</f>
        <v>0.22006866898007485</v>
      </c>
      <c r="T40" s="82">
        <v>5305782</v>
      </c>
      <c r="U40" s="83">
        <v>1</v>
      </c>
      <c r="V40" s="82">
        <v>5898466</v>
      </c>
      <c r="W40" s="83">
        <v>1</v>
      </c>
      <c r="X40" s="84">
        <f aca="true" t="shared" si="3" ref="X40:X52">IF(T40&lt;&gt;0,(V40-T40)/T40,0)</f>
        <v>0.11170530564580301</v>
      </c>
    </row>
    <row r="41" spans="1:24" s="13" customFormat="1" ht="15">
      <c r="A41" s="85" t="s">
        <v>47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7">
        <v>-724520</v>
      </c>
      <c r="K41" s="87">
        <v>-682801</v>
      </c>
      <c r="L41" s="87">
        <v>-728867</v>
      </c>
      <c r="M41" s="87">
        <v>-750580</v>
      </c>
      <c r="N41" s="87">
        <v>-749719</v>
      </c>
      <c r="O41" s="87">
        <v>-861354</v>
      </c>
      <c r="P41" s="19">
        <f>+O41/$O$40</f>
        <v>-0.584816103059144</v>
      </c>
      <c r="Q41" s="87">
        <v>-1003718</v>
      </c>
      <c r="R41" s="19">
        <f aca="true" t="shared" si="4" ref="R41:R59">+Q41/$Q$40</f>
        <v>-0.5585538961176275</v>
      </c>
      <c r="S41" s="19">
        <f t="shared" si="2"/>
        <v>0.1652793160535622</v>
      </c>
      <c r="T41" s="88">
        <v>-3064460</v>
      </c>
      <c r="U41" s="84">
        <f aca="true" t="shared" si="5" ref="U41:U59">+T41/$T$40</f>
        <v>-0.5775699039274512</v>
      </c>
      <c r="V41" s="88">
        <v>-3260968</v>
      </c>
      <c r="W41" s="84">
        <f aca="true" t="shared" si="6" ref="W41:W59">+V41/$V$40</f>
        <v>-0.5528501817252146</v>
      </c>
      <c r="X41" s="84">
        <f t="shared" si="3"/>
        <v>0.06412483765492126</v>
      </c>
    </row>
    <row r="42" spans="1:24" s="30" customFormat="1" ht="15">
      <c r="A42" s="79" t="s">
        <v>48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N42">SUM(H40:H41)</f>
        <v>2027180.7720842743</v>
      </c>
      <c r="I42" s="8">
        <f t="shared" si="7"/>
        <v>2241322</v>
      </c>
      <c r="J42" s="28">
        <f t="shared" si="7"/>
        <v>513026</v>
      </c>
      <c r="K42" s="28">
        <f t="shared" si="7"/>
        <v>559251</v>
      </c>
      <c r="L42" s="28">
        <f t="shared" si="7"/>
        <v>536602</v>
      </c>
      <c r="M42" s="28">
        <f t="shared" si="7"/>
        <v>619944</v>
      </c>
      <c r="N42" s="28">
        <f t="shared" si="7"/>
        <v>580185</v>
      </c>
      <c r="O42" s="28">
        <f>SUM(O40:O41)</f>
        <v>611509</v>
      </c>
      <c r="P42" s="29">
        <f>+O42/$O$40</f>
        <v>0.415183896940856</v>
      </c>
      <c r="Q42" s="28">
        <f>SUM(Q40:Q41)</f>
        <v>793276</v>
      </c>
      <c r="R42" s="29">
        <f t="shared" si="4"/>
        <v>0.44144610388237243</v>
      </c>
      <c r="S42" s="29">
        <f t="shared" si="2"/>
        <v>0.2972433766305974</v>
      </c>
      <c r="T42" s="42">
        <f>SUM(T40:T41)</f>
        <v>2241322</v>
      </c>
      <c r="U42" s="84">
        <f t="shared" si="5"/>
        <v>0.4224300960725488</v>
      </c>
      <c r="V42" s="42">
        <f>SUM(V40:V41)</f>
        <v>2637498</v>
      </c>
      <c r="W42" s="84">
        <f t="shared" si="6"/>
        <v>0.44714981827478534</v>
      </c>
      <c r="X42" s="84">
        <f t="shared" si="3"/>
        <v>0.1767599657702017</v>
      </c>
    </row>
    <row r="43" spans="1:24" s="13" customFormat="1" ht="15">
      <c r="A43" s="85" t="s">
        <v>49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18">
        <v>-59529</v>
      </c>
      <c r="K43" s="18">
        <v>-64873</v>
      </c>
      <c r="L43" s="18">
        <v>-62802</v>
      </c>
      <c r="M43" s="18">
        <v>-73939</v>
      </c>
      <c r="N43" s="18">
        <v>-70895</v>
      </c>
      <c r="O43" s="18">
        <v>-77077</v>
      </c>
      <c r="P43" s="19">
        <f>+O43/$O$40</f>
        <v>-0.05233141167915821</v>
      </c>
      <c r="Q43" s="18">
        <v>-105338</v>
      </c>
      <c r="R43" s="19">
        <f t="shared" si="4"/>
        <v>-0.05861900484920929</v>
      </c>
      <c r="S43" s="19">
        <f t="shared" si="2"/>
        <v>0.3666593147112628</v>
      </c>
      <c r="T43" s="44">
        <v>-270303</v>
      </c>
      <c r="U43" s="84">
        <f t="shared" si="5"/>
        <v>-0.05094498793957234</v>
      </c>
      <c r="V43" s="44">
        <v>-347578</v>
      </c>
      <c r="W43" s="84">
        <f t="shared" si="6"/>
        <v>-0.0589268464037938</v>
      </c>
      <c r="X43" s="84">
        <f t="shared" si="3"/>
        <v>0.28588287958328246</v>
      </c>
    </row>
    <row r="44" spans="1:24" s="13" customFormat="1" ht="15">
      <c r="A44" s="85" t="s">
        <v>50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18">
        <v>-305689</v>
      </c>
      <c r="K44" s="18">
        <v>-325559</v>
      </c>
      <c r="L44" s="18">
        <v>-310054</v>
      </c>
      <c r="M44" s="18">
        <v>-355546</v>
      </c>
      <c r="N44" s="18">
        <v>-335753</v>
      </c>
      <c r="O44" s="18">
        <v>-375480</v>
      </c>
      <c r="P44" s="19">
        <f>+O44/$O$40</f>
        <v>-0.25493206089093146</v>
      </c>
      <c r="Q44" s="18">
        <v>-448571</v>
      </c>
      <c r="R44" s="19">
        <f t="shared" si="4"/>
        <v>-0.24962298149019974</v>
      </c>
      <c r="S44" s="19">
        <f t="shared" si="2"/>
        <v>0.19466016831788643</v>
      </c>
      <c r="T44" s="44">
        <v>-1326976</v>
      </c>
      <c r="U44" s="84">
        <f t="shared" si="5"/>
        <v>-0.250099985261362</v>
      </c>
      <c r="V44" s="44">
        <v>-1505166</v>
      </c>
      <c r="W44" s="84">
        <f t="shared" si="6"/>
        <v>-0.25517922795520054</v>
      </c>
      <c r="X44" s="84">
        <f t="shared" si="3"/>
        <v>0.13428276020063665</v>
      </c>
    </row>
    <row r="45" spans="1:24" s="13" customFormat="1" ht="15">
      <c r="A45" s="85" t="s">
        <v>51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18">
        <v>-33091</v>
      </c>
      <c r="K45" s="18">
        <v>-27738</v>
      </c>
      <c r="L45" s="18">
        <v>-37645</v>
      </c>
      <c r="M45" s="18">
        <v>-33697</v>
      </c>
      <c r="N45" s="18">
        <v>-33984</v>
      </c>
      <c r="O45" s="18">
        <v>-18211</v>
      </c>
      <c r="P45" s="19">
        <f>+O45/$O$40</f>
        <v>-0.01236435432216031</v>
      </c>
      <c r="Q45" s="18">
        <v>-41010</v>
      </c>
      <c r="R45" s="19">
        <f t="shared" si="4"/>
        <v>-0.02282144514672837</v>
      </c>
      <c r="S45" s="19">
        <f t="shared" si="2"/>
        <v>1.2519356432925155</v>
      </c>
      <c r="T45" s="44">
        <v>-122931</v>
      </c>
      <c r="U45" s="84">
        <f t="shared" si="5"/>
        <v>-0.023169251959466106</v>
      </c>
      <c r="V45" s="44">
        <v>-134527</v>
      </c>
      <c r="W45" s="84">
        <f t="shared" si="6"/>
        <v>-0.022807116290913605</v>
      </c>
      <c r="X45" s="84">
        <f t="shared" si="3"/>
        <v>0.09432933922281606</v>
      </c>
    </row>
    <row r="46" spans="1:24" s="30" customFormat="1" ht="15">
      <c r="A46" s="79" t="s">
        <v>52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8" ref="H46:N46">SUM(H43:H45)</f>
        <v>-1594685.7556710679</v>
      </c>
      <c r="I46" s="8">
        <f t="shared" si="8"/>
        <v>-1720210</v>
      </c>
      <c r="J46" s="28">
        <f t="shared" si="8"/>
        <v>-398309</v>
      </c>
      <c r="K46" s="28">
        <f t="shared" si="8"/>
        <v>-418170</v>
      </c>
      <c r="L46" s="28">
        <f t="shared" si="8"/>
        <v>-410501</v>
      </c>
      <c r="M46" s="28">
        <f t="shared" si="8"/>
        <v>-463182</v>
      </c>
      <c r="N46" s="28">
        <f t="shared" si="8"/>
        <v>-440632</v>
      </c>
      <c r="O46" s="28">
        <f>SUM(O43:O45)</f>
        <v>-470768</v>
      </c>
      <c r="P46" s="29">
        <f aca="true" t="shared" si="9" ref="P46:P57">+O46/$O$40</f>
        <v>-0.31962782689225</v>
      </c>
      <c r="Q46" s="28">
        <f>SUM(Q43:Q45)</f>
        <v>-594919</v>
      </c>
      <c r="R46" s="29">
        <f t="shared" si="4"/>
        <v>-0.3310634314861374</v>
      </c>
      <c r="S46" s="29">
        <f t="shared" si="2"/>
        <v>0.2637201339088468</v>
      </c>
      <c r="T46" s="42">
        <f>SUM(T43:T45)</f>
        <v>-1720210</v>
      </c>
      <c r="U46" s="84">
        <f t="shared" si="5"/>
        <v>-0.3242142251604005</v>
      </c>
      <c r="V46" s="42">
        <f>SUM(V43:V45)</f>
        <v>-1987271</v>
      </c>
      <c r="W46" s="84">
        <f t="shared" si="6"/>
        <v>-0.33691319064990793</v>
      </c>
      <c r="X46" s="84">
        <f t="shared" si="3"/>
        <v>0.15524906842769196</v>
      </c>
    </row>
    <row r="47" spans="1:24" s="30" customFormat="1" ht="15">
      <c r="A47" s="79" t="s">
        <v>53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0" ref="H47:N47">+H42+H46</f>
        <v>432495.01641320647</v>
      </c>
      <c r="I47" s="8">
        <f t="shared" si="10"/>
        <v>521112</v>
      </c>
      <c r="J47" s="28">
        <f t="shared" si="10"/>
        <v>114717</v>
      </c>
      <c r="K47" s="28">
        <f t="shared" si="10"/>
        <v>141081</v>
      </c>
      <c r="L47" s="28">
        <f t="shared" si="10"/>
        <v>126101</v>
      </c>
      <c r="M47" s="28">
        <f t="shared" si="10"/>
        <v>156762</v>
      </c>
      <c r="N47" s="28">
        <f t="shared" si="10"/>
        <v>139553</v>
      </c>
      <c r="O47" s="28">
        <f>+O42+O46</f>
        <v>140741</v>
      </c>
      <c r="P47" s="29">
        <f t="shared" si="9"/>
        <v>0.09555607004860601</v>
      </c>
      <c r="Q47" s="28">
        <f>+Q42+Q46</f>
        <v>198357</v>
      </c>
      <c r="R47" s="29">
        <f t="shared" si="4"/>
        <v>0.11038267239623505</v>
      </c>
      <c r="S47" s="29">
        <f t="shared" si="2"/>
        <v>0.40937608799141684</v>
      </c>
      <c r="T47" s="42">
        <f>+T42+T46</f>
        <v>521112</v>
      </c>
      <c r="U47" s="84">
        <f t="shared" si="5"/>
        <v>0.0982158709121483</v>
      </c>
      <c r="V47" s="42">
        <f>+V42+V46</f>
        <v>650227</v>
      </c>
      <c r="W47" s="84">
        <f t="shared" si="6"/>
        <v>0.11023662762487739</v>
      </c>
      <c r="X47" s="84">
        <f t="shared" si="3"/>
        <v>0.24776823408403567</v>
      </c>
    </row>
    <row r="48" spans="1:24" s="13" customFormat="1" ht="15">
      <c r="A48" s="85" t="s">
        <v>54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18">
        <v>2281</v>
      </c>
      <c r="K48" s="18">
        <v>2375</v>
      </c>
      <c r="L48" s="18">
        <v>2318</v>
      </c>
      <c r="M48" s="18">
        <v>2770</v>
      </c>
      <c r="N48" s="18">
        <v>3549</v>
      </c>
      <c r="O48" s="18">
        <v>4148</v>
      </c>
      <c r="P48" s="19">
        <f t="shared" si="9"/>
        <v>0.0028162836597837</v>
      </c>
      <c r="Q48" s="18">
        <v>3996</v>
      </c>
      <c r="R48" s="19">
        <f t="shared" si="4"/>
        <v>0.0022237136017148637</v>
      </c>
      <c r="S48" s="19">
        <f t="shared" si="2"/>
        <v>-0.03664416586306654</v>
      </c>
      <c r="T48" s="44">
        <v>12296</v>
      </c>
      <c r="U48" s="84">
        <f t="shared" si="5"/>
        <v>0.0023174717694771476</v>
      </c>
      <c r="V48" s="44">
        <v>12207</v>
      </c>
      <c r="W48" s="84">
        <f t="shared" si="6"/>
        <v>0.0020695211263403062</v>
      </c>
      <c r="X48" s="84">
        <f t="shared" si="3"/>
        <v>-0.007238126219908913</v>
      </c>
    </row>
    <row r="49" spans="1:24" s="13" customFormat="1" ht="15">
      <c r="A49" s="85" t="s">
        <v>55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18">
        <v>-18188</v>
      </c>
      <c r="K49" s="18">
        <v>-16818</v>
      </c>
      <c r="L49" s="18">
        <v>-17611</v>
      </c>
      <c r="M49" s="18">
        <v>-17303</v>
      </c>
      <c r="N49" s="18">
        <v>-17493</v>
      </c>
      <c r="O49" s="18">
        <v>-17430</v>
      </c>
      <c r="P49" s="19">
        <f t="shared" si="9"/>
        <v>-0.011834094549187536</v>
      </c>
      <c r="Q49" s="18">
        <v>-39725</v>
      </c>
      <c r="R49" s="19">
        <f t="shared" si="4"/>
        <v>-0.02210636206909984</v>
      </c>
      <c r="S49" s="19">
        <f t="shared" si="2"/>
        <v>1.2791164658634537</v>
      </c>
      <c r="T49" s="44">
        <v>-70722</v>
      </c>
      <c r="U49" s="84">
        <f t="shared" si="5"/>
        <v>-0.013329232147117993</v>
      </c>
      <c r="V49" s="44">
        <v>-101111</v>
      </c>
      <c r="W49" s="84">
        <f t="shared" si="6"/>
        <v>-0.017141914524895118</v>
      </c>
      <c r="X49" s="84">
        <f t="shared" si="3"/>
        <v>0.4296965583552501</v>
      </c>
    </row>
    <row r="50" spans="1:24" s="13" customFormat="1" ht="15">
      <c r="A50" s="85" t="s">
        <v>56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18">
        <v>-1259</v>
      </c>
      <c r="K50" s="18">
        <v>-1758</v>
      </c>
      <c r="L50" s="18">
        <v>13430</v>
      </c>
      <c r="M50" s="18">
        <v>4040</v>
      </c>
      <c r="N50" s="18">
        <v>-3185</v>
      </c>
      <c r="O50" s="18">
        <v>-7204</v>
      </c>
      <c r="P50" s="19">
        <f t="shared" si="9"/>
        <v>-0.004891154167088181</v>
      </c>
      <c r="Q50" s="18">
        <v>-4104</v>
      </c>
      <c r="R50" s="19">
        <f t="shared" si="4"/>
        <v>-0.002283813969328779</v>
      </c>
      <c r="S50" s="19">
        <f t="shared" si="2"/>
        <v>-0.4303164908384231</v>
      </c>
      <c r="T50" s="44">
        <v>1782</v>
      </c>
      <c r="U50" s="84">
        <f t="shared" si="5"/>
        <v>0.00033586001083346433</v>
      </c>
      <c r="V50" s="44">
        <v>8732</v>
      </c>
      <c r="W50" s="84">
        <f t="shared" si="6"/>
        <v>0.0014803849000740192</v>
      </c>
      <c r="X50" s="84">
        <f t="shared" si="3"/>
        <v>3.900112233445567</v>
      </c>
    </row>
    <row r="51" spans="1:24" s="13" customFormat="1" ht="15">
      <c r="A51" s="85" t="s">
        <v>57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18">
        <v>-5552</v>
      </c>
      <c r="K51" s="18">
        <v>-7981</v>
      </c>
      <c r="L51" s="18">
        <v>-7455</v>
      </c>
      <c r="M51" s="18">
        <v>-15076</v>
      </c>
      <c r="N51" s="18">
        <v>2332</v>
      </c>
      <c r="O51" s="18">
        <v>-2858</v>
      </c>
      <c r="P51" s="19">
        <f t="shared" si="9"/>
        <v>-0.0019404384521846227</v>
      </c>
      <c r="Q51" s="18">
        <v>-28914</v>
      </c>
      <c r="R51" s="19">
        <f t="shared" si="4"/>
        <v>-0.016090203973969864</v>
      </c>
      <c r="S51" s="19">
        <f t="shared" si="2"/>
        <v>9.116864940517845</v>
      </c>
      <c r="T51" s="44">
        <v>-13533</v>
      </c>
      <c r="U51" s="84">
        <f t="shared" si="5"/>
        <v>-0.002550613651295888</v>
      </c>
      <c r="V51" s="44">
        <v>-54534</v>
      </c>
      <c r="W51" s="84">
        <f t="shared" si="6"/>
        <v>-0.009245454665670701</v>
      </c>
      <c r="X51" s="84">
        <f t="shared" si="3"/>
        <v>3.029705165151851</v>
      </c>
    </row>
    <row r="52" spans="1:24" s="13" customFormat="1" ht="15">
      <c r="A52" s="85" t="s">
        <v>58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18">
        <v>8296</v>
      </c>
      <c r="K52" s="18">
        <v>8803</v>
      </c>
      <c r="L52" s="18">
        <v>9263</v>
      </c>
      <c r="M52" s="18">
        <v>9924</v>
      </c>
      <c r="N52" s="18">
        <v>8787</v>
      </c>
      <c r="O52" s="18">
        <v>8842</v>
      </c>
      <c r="P52" s="19">
        <f t="shared" si="9"/>
        <v>0.00600327389580701</v>
      </c>
      <c r="Q52" s="18">
        <v>9643</v>
      </c>
      <c r="R52" s="19">
        <f t="shared" si="4"/>
        <v>0.005366183749083191</v>
      </c>
      <c r="S52" s="19">
        <f t="shared" si="2"/>
        <v>0.09059036417100204</v>
      </c>
      <c r="T52" s="44">
        <v>35188</v>
      </c>
      <c r="U52" s="84">
        <f t="shared" si="5"/>
        <v>0.006632010135357993</v>
      </c>
      <c r="V52" s="44">
        <v>39510</v>
      </c>
      <c r="W52" s="84">
        <f t="shared" si="6"/>
        <v>0.0066983517409441706</v>
      </c>
      <c r="X52" s="84">
        <f t="shared" si="3"/>
        <v>0.12282596339661248</v>
      </c>
    </row>
    <row r="53" spans="1:24" s="13" customFormat="1" ht="15">
      <c r="A53" s="85" t="s">
        <v>59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18">
        <v>-1</v>
      </c>
      <c r="K53" s="18">
        <v>0</v>
      </c>
      <c r="L53" s="18">
        <v>36</v>
      </c>
      <c r="M53" s="18">
        <v>107</v>
      </c>
      <c r="N53" s="18">
        <v>0</v>
      </c>
      <c r="O53" s="18">
        <v>-37</v>
      </c>
      <c r="P53" s="19">
        <f t="shared" si="9"/>
        <v>-2.512114161330687E-05</v>
      </c>
      <c r="Q53" s="18">
        <v>0</v>
      </c>
      <c r="R53" s="19">
        <f t="shared" si="4"/>
        <v>0</v>
      </c>
      <c r="S53" s="19">
        <f t="shared" si="2"/>
        <v>-1</v>
      </c>
      <c r="T53" s="44">
        <v>-2</v>
      </c>
      <c r="U53" s="84">
        <f t="shared" si="5"/>
        <v>-3.769472624393539E-07</v>
      </c>
      <c r="V53" s="44">
        <v>107</v>
      </c>
      <c r="W53" s="84">
        <f t="shared" si="6"/>
        <v>1.8140309700861208E-05</v>
      </c>
      <c r="X53" s="89" t="s">
        <v>1</v>
      </c>
    </row>
    <row r="54" spans="1:24" s="30" customFormat="1" ht="15">
      <c r="A54" s="79" t="s">
        <v>60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1" ref="H54:N54">SUM(H48:H53)</f>
        <v>-62927</v>
      </c>
      <c r="I54" s="8">
        <f t="shared" si="11"/>
        <v>-34992</v>
      </c>
      <c r="J54" s="28">
        <f t="shared" si="11"/>
        <v>-14423</v>
      </c>
      <c r="K54" s="28">
        <f t="shared" si="11"/>
        <v>-15379</v>
      </c>
      <c r="L54" s="28">
        <f t="shared" si="11"/>
        <v>-19</v>
      </c>
      <c r="M54" s="28">
        <f t="shared" si="11"/>
        <v>-15538</v>
      </c>
      <c r="N54" s="28">
        <f t="shared" si="11"/>
        <v>-6010</v>
      </c>
      <c r="O54" s="28">
        <f>SUM(O48:O53)</f>
        <v>-14539</v>
      </c>
      <c r="P54" s="29">
        <f t="shared" si="9"/>
        <v>-0.009871250754482936</v>
      </c>
      <c r="Q54" s="28">
        <f>SUM(Q48:Q53)</f>
        <v>-59104</v>
      </c>
      <c r="R54" s="29">
        <f t="shared" si="4"/>
        <v>-0.032890482661600426</v>
      </c>
      <c r="S54" s="29">
        <f t="shared" si="2"/>
        <v>3.0652039342458215</v>
      </c>
      <c r="T54" s="42">
        <f>SUM(T48:T53)</f>
        <v>-34991</v>
      </c>
      <c r="U54" s="84">
        <f t="shared" si="5"/>
        <v>-0.006594880830007716</v>
      </c>
      <c r="V54" s="42">
        <f>SUM(V48:V53)</f>
        <v>-95089</v>
      </c>
      <c r="W54" s="84">
        <f t="shared" si="6"/>
        <v>-0.016120971113506462</v>
      </c>
      <c r="X54" s="84">
        <f>IF(T54&lt;&gt;0,(V54-T54)/T54,0)</f>
        <v>1.7175273641793605</v>
      </c>
    </row>
    <row r="55" spans="1:24" s="30" customFormat="1" ht="15">
      <c r="A55" s="79" t="s">
        <v>61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2" ref="H55:N55">+H47+H54</f>
        <v>369568.01641320647</v>
      </c>
      <c r="I55" s="8">
        <f t="shared" si="12"/>
        <v>486120</v>
      </c>
      <c r="J55" s="28">
        <f t="shared" si="12"/>
        <v>100294</v>
      </c>
      <c r="K55" s="28">
        <f t="shared" si="12"/>
        <v>125702</v>
      </c>
      <c r="L55" s="28">
        <f t="shared" si="12"/>
        <v>126082</v>
      </c>
      <c r="M55" s="28">
        <f t="shared" si="12"/>
        <v>141224</v>
      </c>
      <c r="N55" s="28">
        <f t="shared" si="12"/>
        <v>133543</v>
      </c>
      <c r="O55" s="28">
        <f>+O47+O54</f>
        <v>126202</v>
      </c>
      <c r="P55" s="29">
        <f t="shared" si="9"/>
        <v>0.08568481929412308</v>
      </c>
      <c r="Q55" s="28">
        <f>+Q47+Q54</f>
        <v>139253</v>
      </c>
      <c r="R55" s="29">
        <f t="shared" si="4"/>
        <v>0.07749218973463462</v>
      </c>
      <c r="S55" s="29">
        <f t="shared" si="2"/>
        <v>0.10341357506220186</v>
      </c>
      <c r="T55" s="42">
        <f>+T47+T54</f>
        <v>486121</v>
      </c>
      <c r="U55" s="84">
        <f t="shared" si="5"/>
        <v>0.09162099008214057</v>
      </c>
      <c r="V55" s="42">
        <f>+V47+V54</f>
        <v>555138</v>
      </c>
      <c r="W55" s="84">
        <f t="shared" si="6"/>
        <v>0.09411565651137092</v>
      </c>
      <c r="X55" s="84">
        <f>IF(T55&lt;&gt;0,(V55-T55)/T55,0)</f>
        <v>0.14197494039549824</v>
      </c>
    </row>
    <row r="56" spans="1:24" s="13" customFormat="1" ht="15">
      <c r="A56" s="85" t="s">
        <v>62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18">
        <v>-39773</v>
      </c>
      <c r="K56" s="18">
        <v>-46692</v>
      </c>
      <c r="L56" s="18">
        <v>-37735</v>
      </c>
      <c r="M56" s="18">
        <v>-44055</v>
      </c>
      <c r="N56" s="18">
        <v>-39317</v>
      </c>
      <c r="O56" s="18">
        <v>-21632</v>
      </c>
      <c r="P56" s="19">
        <f t="shared" si="9"/>
        <v>-0.014687041496731196</v>
      </c>
      <c r="Q56" s="18">
        <v>-38830</v>
      </c>
      <c r="R56" s="19">
        <f t="shared" si="4"/>
        <v>-0.021608308096743783</v>
      </c>
      <c r="S56" s="19">
        <f t="shared" si="2"/>
        <v>0.7950258875739645</v>
      </c>
      <c r="T56" s="44">
        <v>-138457</v>
      </c>
      <c r="U56" s="84">
        <f t="shared" si="5"/>
        <v>-0.02609549355778281</v>
      </c>
      <c r="V56" s="44">
        <v>-174487</v>
      </c>
      <c r="W56" s="84">
        <f t="shared" si="6"/>
        <v>-0.0295817590539642</v>
      </c>
      <c r="X56" s="84">
        <f>IF(T56&lt;&gt;0,(V56-T56)/T56,0)</f>
        <v>0.2602251962703222</v>
      </c>
    </row>
    <row r="57" spans="1:24" s="13" customFormat="1" ht="15">
      <c r="A57" s="85" t="s">
        <v>38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18">
        <v>-917</v>
      </c>
      <c r="K57" s="18">
        <v>276</v>
      </c>
      <c r="L57" s="18">
        <v>-863</v>
      </c>
      <c r="M57" s="18">
        <v>-50</v>
      </c>
      <c r="N57" s="18">
        <v>-209</v>
      </c>
      <c r="O57" s="18">
        <v>-168</v>
      </c>
      <c r="P57" s="19">
        <f t="shared" si="9"/>
        <v>-0.00011406356191987986</v>
      </c>
      <c r="Q57" s="18">
        <v>-343</v>
      </c>
      <c r="R57" s="19">
        <f t="shared" si="4"/>
        <v>-0.00019087431566271228</v>
      </c>
      <c r="S57" s="19">
        <f>IF(O57&lt;&gt;0,(Q57-O57)/O57,0)</f>
        <v>1.0416666666666667</v>
      </c>
      <c r="T57" s="44">
        <v>-2157</v>
      </c>
      <c r="U57" s="90">
        <f t="shared" si="5"/>
        <v>-0.0004065376225408432</v>
      </c>
      <c r="V57" s="44">
        <v>-416</v>
      </c>
      <c r="W57" s="90">
        <f t="shared" si="6"/>
        <v>-7.052681154727348E-05</v>
      </c>
      <c r="X57" s="84">
        <f>IF(T57&lt;&gt;0,(V57-T57)/T57,0)</f>
        <v>-0.8071395456652758</v>
      </c>
    </row>
    <row r="58" spans="1:24" s="30" customFormat="1" ht="15">
      <c r="A58" s="91" t="s">
        <v>63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3" ref="H58:M58">+H55+H56+H57</f>
        <v>253511.3458988165</v>
      </c>
      <c r="I58" s="92">
        <f t="shared" si="13"/>
        <v>345507</v>
      </c>
      <c r="J58" s="93">
        <f t="shared" si="13"/>
        <v>59604</v>
      </c>
      <c r="K58" s="93">
        <f t="shared" si="13"/>
        <v>79286</v>
      </c>
      <c r="L58" s="93">
        <f t="shared" si="13"/>
        <v>87484</v>
      </c>
      <c r="M58" s="93">
        <f t="shared" si="13"/>
        <v>97119</v>
      </c>
      <c r="N58" s="93">
        <v>94017</v>
      </c>
      <c r="O58" s="93">
        <f>+O55+O56+O57</f>
        <v>104402</v>
      </c>
      <c r="P58" s="94">
        <f>+O58/$O$40</f>
        <v>0.070883714235472</v>
      </c>
      <c r="Q58" s="93">
        <f>+Q55+Q56+Q57</f>
        <v>100080</v>
      </c>
      <c r="R58" s="94">
        <f t="shared" si="4"/>
        <v>0.05569300732222812</v>
      </c>
      <c r="S58" s="94">
        <f>IF(O58&lt;&gt;0,(Q58-O58)/O58,0)</f>
        <v>-0.04139767437405414</v>
      </c>
      <c r="T58" s="95">
        <f>+T55+T56+T57</f>
        <v>345507</v>
      </c>
      <c r="U58" s="90">
        <f t="shared" si="5"/>
        <v>0.06511895890181692</v>
      </c>
      <c r="V58" s="95">
        <f>+V55+V56+V57</f>
        <v>380235</v>
      </c>
      <c r="W58" s="90">
        <f t="shared" si="6"/>
        <v>0.06446337064585946</v>
      </c>
      <c r="X58" s="96">
        <f>+(V58-T58)/T58</f>
        <v>0.10051315892297406</v>
      </c>
    </row>
    <row r="59" spans="1:24" s="30" customFormat="1" ht="15.75" thickBot="1">
      <c r="A59" s="74" t="s">
        <v>64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3">
        <v>150246</v>
      </c>
      <c r="K59" s="23">
        <v>179705</v>
      </c>
      <c r="L59" s="23">
        <v>161808</v>
      </c>
      <c r="M59" s="23">
        <v>196119</v>
      </c>
      <c r="N59" s="23">
        <v>176006</v>
      </c>
      <c r="O59" s="23">
        <v>183035</v>
      </c>
      <c r="P59" s="97">
        <f>+O59/$O$40</f>
        <v>0.12427157176193576</v>
      </c>
      <c r="Q59" s="23">
        <v>257673</v>
      </c>
      <c r="R59" s="97">
        <f t="shared" si="4"/>
        <v>0.14339112985352204</v>
      </c>
      <c r="S59" s="97">
        <f>IF(O59&lt;&gt;0,(Q59-O59)/O59,0)</f>
        <v>0.40777993279973773</v>
      </c>
      <c r="T59" s="60">
        <v>671095</v>
      </c>
      <c r="U59" s="98">
        <f t="shared" si="5"/>
        <v>0.1264837115433691</v>
      </c>
      <c r="V59" s="60">
        <v>832827</v>
      </c>
      <c r="W59" s="98">
        <f t="shared" si="6"/>
        <v>0.1411938290396181</v>
      </c>
      <c r="X59" s="99">
        <f>+(V59-T59)/T59</f>
        <v>0.24099717625671477</v>
      </c>
    </row>
    <row r="60" spans="1:17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"/>
      <c r="O60" s="10"/>
      <c r="P60" s="100"/>
      <c r="Q60" s="100"/>
    </row>
    <row r="61" spans="1:17" s="13" customFormat="1" ht="15">
      <c r="A61" s="101" t="s">
        <v>65</v>
      </c>
      <c r="H61" s="86"/>
      <c r="I61" s="86"/>
      <c r="J61" s="86"/>
      <c r="K61" s="86"/>
      <c r="L61" s="86"/>
      <c r="M61" s="10"/>
      <c r="N61" s="10"/>
      <c r="O61" s="10"/>
      <c r="P61" s="100"/>
      <c r="Q61" s="100"/>
    </row>
    <row r="62" spans="8:17" s="13" customFormat="1" ht="15">
      <c r="H62" s="9"/>
      <c r="I62" s="9"/>
      <c r="J62" s="9"/>
      <c r="K62" s="9"/>
      <c r="L62" s="86"/>
      <c r="M62" s="10"/>
      <c r="N62" s="10"/>
      <c r="O62" s="10"/>
      <c r="P62" s="100"/>
      <c r="Q62" s="100"/>
    </row>
    <row r="63" spans="8:17" s="13" customFormat="1" ht="15">
      <c r="H63" s="9"/>
      <c r="I63" s="9"/>
      <c r="J63" s="9"/>
      <c r="K63" s="9"/>
      <c r="L63" s="10"/>
      <c r="M63" s="10"/>
      <c r="N63" s="10"/>
      <c r="O63" s="10"/>
      <c r="P63" s="100"/>
      <c r="Q63" s="100"/>
    </row>
    <row r="64" spans="8:18" s="13" customFormat="1" ht="15">
      <c r="H64" s="9"/>
      <c r="I64" s="9"/>
      <c r="J64" s="9"/>
      <c r="K64" s="9"/>
      <c r="L64" s="20"/>
      <c r="M64" s="10"/>
      <c r="N64" s="10"/>
      <c r="O64" s="10"/>
      <c r="P64" s="100"/>
      <c r="Q64" s="100"/>
      <c r="R64" s="102"/>
    </row>
    <row r="65" spans="13:15" ht="15">
      <c r="M65" s="103"/>
      <c r="N65" s="103"/>
      <c r="O65" s="103"/>
    </row>
    <row r="82" spans="13:15" ht="15">
      <c r="M82" s="103"/>
      <c r="N82" s="103"/>
      <c r="O82" s="10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G28">
      <selection activeCell="P35" sqref="P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78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87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16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17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 t="s">
        <v>5</v>
      </c>
      <c r="M10" s="15" t="s">
        <v>83</v>
      </c>
      <c r="N10" s="16" t="s">
        <v>0</v>
      </c>
    </row>
    <row r="11" spans="1:15" s="13" customFormat="1" ht="15">
      <c r="A11" s="124" t="s">
        <v>18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183</v>
      </c>
      <c r="M11" s="18">
        <v>48</v>
      </c>
      <c r="N11" s="19">
        <f>IF(L11&lt;&gt;0,(M11-L11)/L11,0)</f>
        <v>-0.7377049180327869</v>
      </c>
      <c r="O11" s="10"/>
    </row>
    <row r="12" spans="1:15" s="13" customFormat="1" ht="15">
      <c r="A12" s="124" t="s">
        <v>19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3787717</v>
      </c>
      <c r="M12" s="18">
        <v>4152714</v>
      </c>
      <c r="N12" s="19">
        <f aca="true" t="shared" si="0" ref="N12:N17">IF(L12&lt;&gt;0,(M12-L12)/L12,0)</f>
        <v>0.09636332387028915</v>
      </c>
      <c r="O12" s="10"/>
    </row>
    <row r="13" spans="1:20" s="20" customFormat="1" ht="14.25" customHeight="1">
      <c r="A13" s="124" t="s">
        <v>20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53661</v>
      </c>
      <c r="M13" s="18">
        <v>52249</v>
      </c>
      <c r="N13" s="19">
        <f t="shared" si="0"/>
        <v>-0.026313337433145116</v>
      </c>
      <c r="O13" s="10"/>
      <c r="P13" s="13"/>
      <c r="R13" s="13"/>
      <c r="S13" s="13"/>
      <c r="T13" s="13"/>
    </row>
    <row r="14" spans="1:20" s="20" customFormat="1" ht="15">
      <c r="A14" s="124" t="s">
        <v>22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80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5049</v>
      </c>
      <c r="M15" s="18">
        <v>13085</v>
      </c>
      <c r="N15" s="19">
        <f t="shared" si="0"/>
        <v>1.5916022974846504</v>
      </c>
      <c r="O15" s="10"/>
      <c r="P15" s="13"/>
      <c r="R15" s="13"/>
      <c r="S15" s="13"/>
      <c r="T15" s="13"/>
    </row>
    <row r="16" spans="1:20" s="20" customFormat="1" ht="15">
      <c r="A16" s="125" t="s">
        <v>26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3775560</v>
      </c>
      <c r="M16" s="18">
        <v>3617096</v>
      </c>
      <c r="N16" s="19">
        <f t="shared" si="0"/>
        <v>-0.041970992382586954</v>
      </c>
      <c r="O16" s="10"/>
      <c r="P16" s="13"/>
      <c r="R16" s="13"/>
      <c r="S16" s="13"/>
      <c r="T16" s="13"/>
    </row>
    <row r="17" spans="1:20" s="20" customFormat="1" ht="15.75" thickBot="1">
      <c r="A17" s="122" t="s">
        <v>84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7622170</v>
      </c>
      <c r="M17" s="23">
        <f>SUM(M11:M16)</f>
        <v>7835192</v>
      </c>
      <c r="N17" s="24">
        <f t="shared" si="0"/>
        <v>0.02794768418967302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28</v>
      </c>
      <c r="B19" s="25"/>
      <c r="C19" s="25"/>
      <c r="D19" s="25"/>
      <c r="E19" s="25"/>
      <c r="F19" s="25"/>
      <c r="G19" s="25"/>
      <c r="H19" s="108">
        <v>2011</v>
      </c>
      <c r="I19" s="26">
        <v>2012</v>
      </c>
      <c r="J19" s="26">
        <v>2013</v>
      </c>
      <c r="K19" s="27" t="s">
        <v>0</v>
      </c>
      <c r="L19" s="26" t="s">
        <v>83</v>
      </c>
      <c r="M19" s="26" t="s">
        <v>83</v>
      </c>
      <c r="N19" s="27" t="s">
        <v>0</v>
      </c>
      <c r="O19" s="38"/>
      <c r="P19" s="13"/>
      <c r="R19" s="13"/>
      <c r="S19" s="13"/>
      <c r="T19" s="13"/>
    </row>
    <row r="20" spans="1:20" s="20" customFormat="1" ht="15">
      <c r="A20" s="124" t="s">
        <v>29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81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221819</v>
      </c>
      <c r="M21" s="18">
        <v>231256</v>
      </c>
      <c r="N21" s="19">
        <f t="shared" si="2"/>
        <v>0.04254369553554926</v>
      </c>
      <c r="O21" s="10"/>
      <c r="P21" s="13"/>
      <c r="R21" s="13"/>
      <c r="S21" s="13"/>
      <c r="T21" s="13"/>
    </row>
    <row r="22" spans="1:15" s="13" customFormat="1" ht="15">
      <c r="A22" s="37" t="s">
        <v>32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1015</v>
      </c>
      <c r="M22" s="18">
        <v>1234</v>
      </c>
      <c r="N22" s="19">
        <f t="shared" si="2"/>
        <v>0.21576354679802956</v>
      </c>
      <c r="O22" s="10"/>
    </row>
    <row r="23" spans="1:15" s="13" customFormat="1" ht="15">
      <c r="A23" s="37" t="s">
        <v>33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482</v>
      </c>
      <c r="M23" s="18">
        <v>22</v>
      </c>
      <c r="N23" s="19">
        <f t="shared" si="2"/>
        <v>-0.9543568464730291</v>
      </c>
      <c r="O23" s="10"/>
    </row>
    <row r="24" spans="1:15" s="13" customFormat="1" ht="15">
      <c r="A24" s="37" t="s">
        <v>34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2432</v>
      </c>
      <c r="M24" s="18">
        <v>131</v>
      </c>
      <c r="N24" s="19">
        <f t="shared" si="2"/>
        <v>-0.9461348684210527</v>
      </c>
      <c r="O24" s="10"/>
    </row>
    <row r="25" spans="1:15" s="13" customFormat="1" ht="15">
      <c r="A25" s="37" t="s">
        <v>82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38966</v>
      </c>
      <c r="M25" s="18">
        <v>43328</v>
      </c>
      <c r="N25" s="19">
        <f t="shared" si="2"/>
        <v>0.11194374582969768</v>
      </c>
      <c r="O25" s="10"/>
    </row>
    <row r="26" spans="1:20" s="30" customFormat="1" ht="15">
      <c r="A26" s="127" t="s">
        <v>37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264714</v>
      </c>
      <c r="M26" s="28">
        <f>SUM(M20:M25)</f>
        <v>275971</v>
      </c>
      <c r="N26" s="29">
        <f t="shared" si="2"/>
        <v>0.04252514034014068</v>
      </c>
      <c r="O26" s="10"/>
      <c r="P26" s="13"/>
      <c r="R26" s="13"/>
      <c r="S26" s="13"/>
      <c r="T26" s="13"/>
    </row>
    <row r="27" spans="1:20" s="30" customFormat="1" ht="15">
      <c r="A27" s="126" t="s">
        <v>39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7357456</v>
      </c>
      <c r="M27" s="32">
        <f>+M17-M26</f>
        <v>7559221</v>
      </c>
      <c r="N27" s="33">
        <f t="shared" si="2"/>
        <v>0.02742320171537553</v>
      </c>
      <c r="O27" s="10"/>
      <c r="P27" s="13"/>
      <c r="R27" s="13"/>
      <c r="S27" s="13"/>
      <c r="T27" s="13"/>
    </row>
    <row r="28" spans="1:20" s="30" customFormat="1" ht="15.75" thickBot="1">
      <c r="A28" s="128" t="s">
        <v>40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7622170</v>
      </c>
      <c r="M28" s="23">
        <f>+M26+M27</f>
        <v>7835192</v>
      </c>
      <c r="N28" s="34">
        <f t="shared" si="2"/>
        <v>0.02794768418967302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15990.178010007045</v>
      </c>
      <c r="M30" s="36">
        <f>+M27/+(M29/1000000)</f>
        <v>16428.679887040227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79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88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16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6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40" t="s">
        <v>0</v>
      </c>
      <c r="L37" s="15" t="s">
        <v>5</v>
      </c>
      <c r="M37" s="15" t="s">
        <v>83</v>
      </c>
      <c r="N37" s="40" t="s">
        <v>0</v>
      </c>
      <c r="P37" s="38"/>
    </row>
    <row r="38" spans="1:18" s="30" customFormat="1" ht="15">
      <c r="A38" s="13" t="s">
        <v>66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19">
        <f>(J38-I38)/I38</f>
        <v>0.10207674366593182</v>
      </c>
      <c r="L38" s="28">
        <v>77093</v>
      </c>
      <c r="M38" s="28">
        <v>78232</v>
      </c>
      <c r="N38" s="19">
        <f>IF(L38&lt;&gt;0,(M38-L38)/L38,0)</f>
        <v>0.014774363431180522</v>
      </c>
      <c r="O38" s="43"/>
      <c r="P38" s="13"/>
      <c r="Q38" s="13"/>
      <c r="R38" s="13"/>
    </row>
    <row r="39" spans="1:15" s="13" customFormat="1" ht="15">
      <c r="A39" s="13" t="s">
        <v>67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21">
        <v>0</v>
      </c>
      <c r="L39" s="18">
        <v>0</v>
      </c>
      <c r="M39" s="18">
        <v>640</v>
      </c>
      <c r="N39" s="19">
        <f aca="true" t="shared" si="6" ref="N39:N49">IF(L39&lt;&gt;0,(M39-L39)/L39,0)</f>
        <v>0</v>
      </c>
      <c r="O39" s="43"/>
    </row>
    <row r="40" spans="1:18" s="30" customFormat="1" ht="15">
      <c r="A40" s="13" t="s">
        <v>68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9">
        <f aca="true" t="shared" si="7" ref="K40:K48">(J40-I40)/I40</f>
        <v>0.1230878792194844</v>
      </c>
      <c r="L40" s="18">
        <v>8803</v>
      </c>
      <c r="M40" s="18">
        <v>9622</v>
      </c>
      <c r="N40" s="19">
        <f t="shared" si="6"/>
        <v>0.0930364648415313</v>
      </c>
      <c r="O40" s="43"/>
      <c r="P40" s="13"/>
      <c r="Q40" s="13"/>
      <c r="R40" s="13"/>
    </row>
    <row r="41" spans="1:18" s="30" customFormat="1" ht="15">
      <c r="A41" s="13" t="s">
        <v>69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9">
        <f t="shared" si="7"/>
        <v>0.7263396586704858</v>
      </c>
      <c r="L41" s="18">
        <v>2650</v>
      </c>
      <c r="M41" s="18">
        <v>3254</v>
      </c>
      <c r="N41" s="19">
        <f t="shared" si="6"/>
        <v>0.22792452830188678</v>
      </c>
      <c r="O41" s="43"/>
      <c r="P41" s="13"/>
      <c r="Q41" s="13"/>
      <c r="R41" s="13"/>
    </row>
    <row r="42" spans="1:18" s="30" customFormat="1" ht="15">
      <c r="A42" s="30" t="s">
        <v>70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>SUM(H38:H41)</f>
        <v>275321</v>
      </c>
      <c r="I42" s="28">
        <f>SUM(I38:I41)</f>
        <v>356474</v>
      </c>
      <c r="J42" s="113">
        <f>SUM(J38:J41)</f>
        <v>398654</v>
      </c>
      <c r="K42" s="19">
        <f t="shared" si="7"/>
        <v>0.11832560018402465</v>
      </c>
      <c r="L42" s="28">
        <f>SUM(L38:L41)</f>
        <v>88546</v>
      </c>
      <c r="M42" s="28">
        <f>SUM(M38:M41)</f>
        <v>91748</v>
      </c>
      <c r="N42" s="19">
        <f t="shared" si="6"/>
        <v>0.036161994895308656</v>
      </c>
      <c r="O42" s="43"/>
      <c r="P42" s="13"/>
      <c r="Q42" s="13"/>
      <c r="R42" s="13"/>
    </row>
    <row r="43" spans="1:15" s="13" customFormat="1" ht="15">
      <c r="A43" s="13" t="s">
        <v>71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9">
        <f t="shared" si="7"/>
        <v>0.3430128840436075</v>
      </c>
      <c r="L43" s="18">
        <f>-2393-5938</f>
        <v>-8331</v>
      </c>
      <c r="M43" s="18">
        <v>-6805</v>
      </c>
      <c r="N43" s="19">
        <f t="shared" si="6"/>
        <v>-0.18317128796062898</v>
      </c>
      <c r="O43" s="43"/>
    </row>
    <row r="44" spans="1:18" s="30" customFormat="1" ht="15">
      <c r="A44" s="30" t="s">
        <v>72</v>
      </c>
      <c r="B44" s="8">
        <f aca="true" t="shared" si="9" ref="B44:G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>SUM(H42:H43)</f>
        <v>266317</v>
      </c>
      <c r="I44" s="28">
        <f>SUM(I42:I43)</f>
        <v>346384</v>
      </c>
      <c r="J44" s="113">
        <f>SUM(J42:J43)</f>
        <v>385103</v>
      </c>
      <c r="K44" s="19">
        <f t="shared" si="7"/>
        <v>0.1117805672317428</v>
      </c>
      <c r="L44" s="28">
        <f>SUM(L42:L43)</f>
        <v>80215</v>
      </c>
      <c r="M44" s="28">
        <f>SUM(M42:M43)</f>
        <v>84943</v>
      </c>
      <c r="N44" s="19">
        <f t="shared" si="6"/>
        <v>0.058941594464875645</v>
      </c>
      <c r="O44" s="43"/>
      <c r="P44" s="13"/>
      <c r="Q44" s="13"/>
      <c r="R44" s="13"/>
    </row>
    <row r="45" spans="1:18" s="30" customFormat="1" ht="15">
      <c r="A45" s="13" t="s">
        <v>73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9">
        <f t="shared" si="7"/>
        <v>-0.7614571092831962</v>
      </c>
      <c r="L45" s="18">
        <v>61</v>
      </c>
      <c r="M45" s="18">
        <v>7</v>
      </c>
      <c r="N45" s="19">
        <f t="shared" si="6"/>
        <v>-0.8852459016393442</v>
      </c>
      <c r="O45" s="43"/>
      <c r="P45" s="13"/>
      <c r="Q45" s="13"/>
      <c r="R45" s="13"/>
    </row>
    <row r="46" spans="1:15" s="13" customFormat="1" ht="15">
      <c r="A46" s="13" t="s">
        <v>74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9">
        <f t="shared" si="7"/>
        <v>1.139568345323741</v>
      </c>
      <c r="L46" s="18">
        <v>-127</v>
      </c>
      <c r="M46" s="18">
        <v>-10</v>
      </c>
      <c r="N46" s="19">
        <f t="shared" si="6"/>
        <v>-0.9212598425196851</v>
      </c>
      <c r="O46" s="43"/>
    </row>
    <row r="47" spans="1:18" s="30" customFormat="1" ht="15">
      <c r="A47" s="30" t="s">
        <v>75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>SUM(H44:H46)</f>
        <v>256109</v>
      </c>
      <c r="I47" s="28">
        <f>SUM(I44:I46)</f>
        <v>345845</v>
      </c>
      <c r="J47" s="113">
        <f>SUM(J44:J46)</f>
        <v>382332</v>
      </c>
      <c r="K47" s="19">
        <f t="shared" si="7"/>
        <v>0.10550101924272434</v>
      </c>
      <c r="L47" s="28">
        <f>SUM(L44:L46)</f>
        <v>80149</v>
      </c>
      <c r="M47" s="28">
        <f>SUM(M44:M46)</f>
        <v>84940</v>
      </c>
      <c r="N47" s="19">
        <f t="shared" si="6"/>
        <v>0.059776166889168925</v>
      </c>
      <c r="O47" s="43"/>
      <c r="P47" s="13"/>
      <c r="Q47" s="13"/>
      <c r="R47" s="13"/>
    </row>
    <row r="48" spans="1:15" s="13" customFormat="1" ht="15">
      <c r="A48" s="13" t="s">
        <v>76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9">
        <f t="shared" si="7"/>
        <v>5.747922437673131</v>
      </c>
      <c r="L48" s="18">
        <v>-2289</v>
      </c>
      <c r="M48" s="18">
        <v>-54</v>
      </c>
      <c r="N48" s="19">
        <f t="shared" si="6"/>
        <v>-0.9764089121887287</v>
      </c>
      <c r="O48" s="43"/>
    </row>
    <row r="49" spans="1:15" s="13" customFormat="1" ht="15.75" thickBot="1">
      <c r="A49" s="45" t="s">
        <v>77</v>
      </c>
      <c r="B49" s="46">
        <f aca="true" t="shared" si="11" ref="B49:G49">SUM(B47:B48)</f>
        <v>169411</v>
      </c>
      <c r="C49" s="46">
        <f t="shared" si="11"/>
        <v>210697</v>
      </c>
      <c r="D49" s="46">
        <f t="shared" si="11"/>
        <v>244292</v>
      </c>
      <c r="E49" s="46">
        <f t="shared" si="11"/>
        <v>291006</v>
      </c>
      <c r="F49" s="46">
        <f t="shared" si="11"/>
        <v>225496</v>
      </c>
      <c r="G49" s="46">
        <f t="shared" si="11"/>
        <v>278403</v>
      </c>
      <c r="H49" s="115">
        <f>SUM(H47:H48)</f>
        <v>255982</v>
      </c>
      <c r="I49" s="47">
        <f>SUM(I47:I48)</f>
        <v>345484</v>
      </c>
      <c r="J49" s="116">
        <f>SUM(J47:J48)</f>
        <v>379896</v>
      </c>
      <c r="K49" s="34">
        <f>(J49-I49)/I49</f>
        <v>0.09960519155735142</v>
      </c>
      <c r="L49" s="47">
        <f>SUM(L47:L48)</f>
        <v>77860</v>
      </c>
      <c r="M49" s="47">
        <f>SUM(M47:M48)</f>
        <v>84886</v>
      </c>
      <c r="N49" s="34">
        <f t="shared" si="6"/>
        <v>0.09023889031595171</v>
      </c>
      <c r="O49" s="43"/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89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T82"/>
  <sheetViews>
    <sheetView zoomScalePageLayoutView="0" workbookViewId="0" topLeftCell="D37">
      <selection activeCell="O63" sqref="O63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85</v>
      </c>
      <c r="B6" s="5"/>
      <c r="C6" s="5"/>
      <c r="D6" s="5"/>
      <c r="E6" s="5"/>
      <c r="F6" s="5"/>
      <c r="G6" s="5"/>
    </row>
    <row r="7" spans="1:7" ht="15.75">
      <c r="A7" s="6" t="s">
        <v>87</v>
      </c>
      <c r="B7" s="6"/>
      <c r="C7" s="6"/>
      <c r="D7" s="6"/>
      <c r="E7" s="6"/>
      <c r="F7" s="6"/>
      <c r="G7" s="6"/>
    </row>
    <row r="8" spans="1:7" ht="15">
      <c r="A8" s="7" t="s">
        <v>16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17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 t="s">
        <v>5</v>
      </c>
      <c r="M10" s="15" t="s">
        <v>83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18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268522</v>
      </c>
      <c r="M11" s="55">
        <v>353987</v>
      </c>
      <c r="N11" s="19">
        <f>+(M11-L11)/L11</f>
        <v>0.31827932161983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19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356520</v>
      </c>
      <c r="M12" s="55">
        <v>376030</v>
      </c>
      <c r="N12" s="19">
        <f aca="true" t="shared" si="1" ref="N12:N19">+(M12-L12)/L12</f>
        <v>0.054723437675305735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20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721224</v>
      </c>
      <c r="M13" s="55">
        <v>901396</v>
      </c>
      <c r="N13" s="19">
        <f t="shared" si="1"/>
        <v>0.24981420474082947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21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565079</v>
      </c>
      <c r="M14" s="55">
        <v>759576</v>
      </c>
      <c r="N14" s="19">
        <f t="shared" si="1"/>
        <v>0.3441943515862384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22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1130203</v>
      </c>
      <c r="M15" s="55">
        <v>1481507</v>
      </c>
      <c r="N15" s="19">
        <f t="shared" si="1"/>
        <v>0.31083265572644914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23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1030021</v>
      </c>
      <c r="M16" s="55">
        <v>1979821</v>
      </c>
      <c r="N16" s="19">
        <f t="shared" si="1"/>
        <v>0.9221171218839228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24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53810</v>
      </c>
      <c r="M17" s="55">
        <v>110933</v>
      </c>
      <c r="N17" s="19">
        <f t="shared" si="1"/>
        <v>1.0615684816948523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25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6387</v>
      </c>
      <c r="M18" s="55">
        <v>18237</v>
      </c>
      <c r="N18" s="19">
        <f t="shared" si="1"/>
        <v>1.85533114138093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26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4924714</v>
      </c>
      <c r="M19" s="55">
        <v>4881634</v>
      </c>
      <c r="N19" s="19">
        <f t="shared" si="1"/>
        <v>-0.008747716111026956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27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9056480</v>
      </c>
      <c r="M20" s="61">
        <f>SUM(M11:M19)</f>
        <v>10863121</v>
      </c>
      <c r="N20" s="34">
        <f>+(M20-L20)/L20</f>
        <v>0.19948600339204636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28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86</v>
      </c>
      <c r="L22" s="65" t="s">
        <v>5</v>
      </c>
      <c r="M22" s="65" t="s">
        <v>83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29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698237</v>
      </c>
      <c r="M23" s="55">
        <v>1990883</v>
      </c>
      <c r="N23" s="19">
        <f aca="true" t="shared" si="3" ref="N23:N34">+(M23-L23)/L23</f>
        <v>1.8512997735725836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30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166315</v>
      </c>
      <c r="M24" s="55">
        <v>224001</v>
      </c>
      <c r="N24" s="19">
        <f t="shared" si="3"/>
        <v>0.3468478489613084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31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349442</v>
      </c>
      <c r="M25" s="55">
        <v>440450</v>
      </c>
      <c r="N25" s="19">
        <f t="shared" si="3"/>
        <v>0.26043806983705453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32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103109</v>
      </c>
      <c r="M26" s="55">
        <v>114252</v>
      </c>
      <c r="N26" s="19">
        <f t="shared" si="3"/>
        <v>0.10807010057317984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33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67660</v>
      </c>
      <c r="M27" s="55">
        <v>75652</v>
      </c>
      <c r="N27" s="19">
        <f t="shared" si="3"/>
        <v>0.118120011823825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34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156784</v>
      </c>
      <c r="M28" s="55">
        <v>223600</v>
      </c>
      <c r="N28" s="19">
        <f t="shared" si="3"/>
        <v>0.42616593529952035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35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160397</v>
      </c>
      <c r="M29" s="55">
        <v>224405</v>
      </c>
      <c r="N29" s="19">
        <f t="shared" si="3"/>
        <v>0.3990598327898901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36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4320</v>
      </c>
      <c r="M30" s="55">
        <v>2502</v>
      </c>
      <c r="N30" s="19">
        <f t="shared" si="3"/>
        <v>-0.42083333333333334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37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1706264</v>
      </c>
      <c r="M31" s="69">
        <f>SUM(M23:M30)</f>
        <v>3295745</v>
      </c>
      <c r="N31" s="19">
        <f t="shared" si="3"/>
        <v>0.9315563125049816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38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5700</v>
      </c>
      <c r="M32" s="55">
        <v>19809</v>
      </c>
      <c r="N32" s="19">
        <f t="shared" si="3"/>
        <v>2.475263157894737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39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L20-L31-L32</f>
        <v>7344516</v>
      </c>
      <c r="M33" s="73">
        <f>M20-M31-M32</f>
        <v>7547567</v>
      </c>
      <c r="N33" s="33">
        <f t="shared" si="3"/>
        <v>0.02764661415401641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40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9056480</v>
      </c>
      <c r="M34" s="61">
        <f>+M31+M32+M33</f>
        <v>10863121</v>
      </c>
      <c r="N34" s="34">
        <f t="shared" si="3"/>
        <v>0.19948600339204636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41</v>
      </c>
      <c r="B36" s="5"/>
      <c r="C36" s="5"/>
      <c r="D36" s="5"/>
      <c r="E36" s="5"/>
      <c r="F36" s="5"/>
      <c r="G36" s="5"/>
    </row>
    <row r="37" spans="1:7" ht="15.75">
      <c r="A37" s="6" t="s">
        <v>88</v>
      </c>
      <c r="B37" s="6"/>
      <c r="C37" s="6"/>
      <c r="D37" s="6"/>
      <c r="E37" s="6"/>
      <c r="F37" s="6"/>
      <c r="G37" s="6"/>
    </row>
    <row r="38" spans="1:7" ht="15">
      <c r="A38" s="7" t="s">
        <v>16</v>
      </c>
      <c r="B38" s="7"/>
      <c r="C38" s="7"/>
      <c r="D38" s="7"/>
      <c r="E38" s="7"/>
      <c r="F38" s="7"/>
      <c r="G38" s="7"/>
    </row>
    <row r="39" spans="1:19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104">
        <v>2011</v>
      </c>
      <c r="I39" s="15">
        <v>2012</v>
      </c>
      <c r="J39" s="51" t="s">
        <v>43</v>
      </c>
      <c r="K39" s="15">
        <v>2013</v>
      </c>
      <c r="L39" s="51" t="s">
        <v>43</v>
      </c>
      <c r="M39" s="76" t="s">
        <v>0</v>
      </c>
      <c r="N39" s="15" t="s">
        <v>5</v>
      </c>
      <c r="O39" s="51" t="s">
        <v>43</v>
      </c>
      <c r="P39" s="15" t="s">
        <v>83</v>
      </c>
      <c r="Q39" s="51" t="s">
        <v>43</v>
      </c>
      <c r="R39" s="76" t="s">
        <v>0</v>
      </c>
      <c r="S39" s="50"/>
    </row>
    <row r="40" spans="1:20" s="30" customFormat="1" ht="15">
      <c r="A40" s="79" t="s">
        <v>46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118">
        <v>5057382.61826627</v>
      </c>
      <c r="I40" s="82">
        <v>5305782</v>
      </c>
      <c r="J40" s="29">
        <v>1</v>
      </c>
      <c r="K40" s="82">
        <v>5898466</v>
      </c>
      <c r="L40" s="29">
        <v>1</v>
      </c>
      <c r="M40" s="19">
        <f aca="true" t="shared" si="4" ref="M40:M57">IF(I40&lt;&gt;0,(K40-I40)/I40,0)</f>
        <v>0.11170530564580301</v>
      </c>
      <c r="N40" s="81">
        <v>1242052</v>
      </c>
      <c r="O40" s="29">
        <v>1</v>
      </c>
      <c r="P40" s="81">
        <v>1572825</v>
      </c>
      <c r="Q40" s="29">
        <v>1</v>
      </c>
      <c r="R40" s="19">
        <f aca="true" t="shared" si="5" ref="R40:R57">IF(N40&lt;&gt;0,(P40-N40)/N40,0)</f>
        <v>0.2663117164176701</v>
      </c>
      <c r="S40" s="119"/>
      <c r="T40" s="13"/>
    </row>
    <row r="41" spans="1:19" s="13" customFormat="1" ht="15">
      <c r="A41" s="85" t="s">
        <v>47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120">
        <v>-3030201.8461819952</v>
      </c>
      <c r="I41" s="88">
        <v>-3064460</v>
      </c>
      <c r="J41" s="19">
        <f aca="true" t="shared" si="6" ref="J41:J59">+I41/$I$40</f>
        <v>-0.5775699039274512</v>
      </c>
      <c r="K41" s="88">
        <v>-3260968</v>
      </c>
      <c r="L41" s="19">
        <f aca="true" t="shared" si="7" ref="L41:L59">+K41/$K$40</f>
        <v>-0.5528501817252146</v>
      </c>
      <c r="M41" s="19">
        <f t="shared" si="4"/>
        <v>0.06412483765492126</v>
      </c>
      <c r="N41" s="87">
        <v>-682801</v>
      </c>
      <c r="O41" s="19">
        <f>+N41/$N$40</f>
        <v>-0.5497362429270272</v>
      </c>
      <c r="P41" s="87">
        <v>-875730</v>
      </c>
      <c r="Q41" s="19">
        <f>+P41/$P$40</f>
        <v>-0.5567879452577369</v>
      </c>
      <c r="R41" s="19">
        <f t="shared" si="5"/>
        <v>0.2825552393742833</v>
      </c>
      <c r="S41" s="100"/>
    </row>
    <row r="42" spans="1:20" s="30" customFormat="1" ht="15">
      <c r="A42" s="79" t="s">
        <v>48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109">
        <f>SUM(H40:H41)</f>
        <v>2027180.7720842743</v>
      </c>
      <c r="I42" s="42">
        <f>SUM(I40:I41)</f>
        <v>2241322</v>
      </c>
      <c r="J42" s="29">
        <f t="shared" si="6"/>
        <v>0.4224300960725488</v>
      </c>
      <c r="K42" s="42">
        <f>SUM(K40:K41)</f>
        <v>2637498</v>
      </c>
      <c r="L42" s="29">
        <f t="shared" si="7"/>
        <v>0.44714981827478534</v>
      </c>
      <c r="M42" s="19">
        <f t="shared" si="4"/>
        <v>0.1767599657702017</v>
      </c>
      <c r="N42" s="28">
        <f>SUM(N40:N41)</f>
        <v>559251</v>
      </c>
      <c r="O42" s="29">
        <f aca="true" t="shared" si="8" ref="O42:O59">+N42/$N$40</f>
        <v>0.4502637570729728</v>
      </c>
      <c r="P42" s="28">
        <f>SUM(P40:P41)</f>
        <v>697095</v>
      </c>
      <c r="Q42" s="29">
        <f aca="true" t="shared" si="9" ref="Q42:Q59">+P42/$P$40</f>
        <v>0.4432120547422631</v>
      </c>
      <c r="R42" s="19">
        <f t="shared" si="5"/>
        <v>0.24647966655401599</v>
      </c>
      <c r="S42" s="119"/>
      <c r="T42" s="13"/>
    </row>
    <row r="43" spans="1:19" s="13" customFormat="1" ht="15">
      <c r="A43" s="85" t="s">
        <v>49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106">
        <v>-250061.17590559012</v>
      </c>
      <c r="I43" s="44">
        <v>-270303</v>
      </c>
      <c r="J43" s="19">
        <f t="shared" si="6"/>
        <v>-0.05094498793957234</v>
      </c>
      <c r="K43" s="44">
        <v>-347578</v>
      </c>
      <c r="L43" s="19">
        <f t="shared" si="7"/>
        <v>-0.0589268464037938</v>
      </c>
      <c r="M43" s="19">
        <f t="shared" si="4"/>
        <v>0.28588287958328246</v>
      </c>
      <c r="N43" s="18">
        <v>-64873</v>
      </c>
      <c r="O43" s="19">
        <f t="shared" si="8"/>
        <v>-0.05223050242662948</v>
      </c>
      <c r="P43" s="18">
        <v>-103109</v>
      </c>
      <c r="Q43" s="19">
        <f t="shared" si="9"/>
        <v>-0.06555656223673963</v>
      </c>
      <c r="R43" s="19">
        <f t="shared" si="5"/>
        <v>0.5893977463659766</v>
      </c>
      <c r="S43" s="100"/>
    </row>
    <row r="44" spans="1:19" s="13" customFormat="1" ht="15">
      <c r="A44" s="85" t="s">
        <v>50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106">
        <v>-1221301.5797654777</v>
      </c>
      <c r="I44" s="44">
        <v>-1326976</v>
      </c>
      <c r="J44" s="19">
        <f t="shared" si="6"/>
        <v>-0.250099985261362</v>
      </c>
      <c r="K44" s="44">
        <v>-1505166</v>
      </c>
      <c r="L44" s="19">
        <f t="shared" si="7"/>
        <v>-0.25517922795520054</v>
      </c>
      <c r="M44" s="19">
        <f t="shared" si="4"/>
        <v>0.13428276020063665</v>
      </c>
      <c r="N44" s="18">
        <v>-325559</v>
      </c>
      <c r="O44" s="19">
        <f t="shared" si="8"/>
        <v>-0.26211382454196763</v>
      </c>
      <c r="P44" s="18">
        <v>-400920</v>
      </c>
      <c r="Q44" s="19">
        <f t="shared" si="9"/>
        <v>-0.25490439177912355</v>
      </c>
      <c r="R44" s="19">
        <f t="shared" si="5"/>
        <v>0.23148185121590864</v>
      </c>
      <c r="S44" s="100"/>
    </row>
    <row r="45" spans="1:19" s="13" customFormat="1" ht="15">
      <c r="A45" s="85" t="s">
        <v>51</v>
      </c>
      <c r="B45" s="9"/>
      <c r="C45" s="9"/>
      <c r="D45" s="9"/>
      <c r="E45" s="9"/>
      <c r="F45" s="9"/>
      <c r="G45" s="9">
        <v>-121613</v>
      </c>
      <c r="H45" s="106">
        <v>-123323</v>
      </c>
      <c r="I45" s="44">
        <v>-122931</v>
      </c>
      <c r="J45" s="19">
        <f t="shared" si="6"/>
        <v>-0.023169251959466106</v>
      </c>
      <c r="K45" s="44">
        <v>-134527</v>
      </c>
      <c r="L45" s="19">
        <f t="shared" si="7"/>
        <v>-0.022807116290913605</v>
      </c>
      <c r="M45" s="19">
        <f t="shared" si="4"/>
        <v>0.09432933922281606</v>
      </c>
      <c r="N45" s="18">
        <v>-27738</v>
      </c>
      <c r="O45" s="19">
        <f t="shared" si="8"/>
        <v>-0.022332398321487344</v>
      </c>
      <c r="P45" s="18">
        <v>-29371</v>
      </c>
      <c r="Q45" s="19">
        <f t="shared" si="9"/>
        <v>-0.01867404193092048</v>
      </c>
      <c r="R45" s="19">
        <f t="shared" si="5"/>
        <v>0.05887230514096186</v>
      </c>
      <c r="S45" s="100"/>
    </row>
    <row r="46" spans="1:20" s="30" customFormat="1" ht="15">
      <c r="A46" s="79" t="s">
        <v>52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109">
        <f>SUM(H43:H45)</f>
        <v>-1594685.7556710679</v>
      </c>
      <c r="I46" s="42">
        <f>SUM(I43:I45)</f>
        <v>-1720210</v>
      </c>
      <c r="J46" s="29">
        <f t="shared" si="6"/>
        <v>-0.3242142251604005</v>
      </c>
      <c r="K46" s="42">
        <f>SUM(K43:K45)</f>
        <v>-1987271</v>
      </c>
      <c r="L46" s="29">
        <f t="shared" si="7"/>
        <v>-0.33691319064990793</v>
      </c>
      <c r="M46" s="19">
        <f t="shared" si="4"/>
        <v>0.15524906842769196</v>
      </c>
      <c r="N46" s="28">
        <f>SUM(N43:N45)</f>
        <v>-418170</v>
      </c>
      <c r="O46" s="29">
        <f t="shared" si="8"/>
        <v>-0.33667672529008447</v>
      </c>
      <c r="P46" s="28">
        <f>SUM(P43:P45)</f>
        <v>-533400</v>
      </c>
      <c r="Q46" s="29">
        <f t="shared" si="9"/>
        <v>-0.33913499594678365</v>
      </c>
      <c r="R46" s="19">
        <f t="shared" si="5"/>
        <v>0.2755577875026903</v>
      </c>
      <c r="S46" s="119"/>
      <c r="T46" s="13"/>
    </row>
    <row r="47" spans="1:20" s="30" customFormat="1" ht="15">
      <c r="A47" s="79" t="s">
        <v>53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109">
        <f>+H42+H46</f>
        <v>432495.01641320647</v>
      </c>
      <c r="I47" s="42">
        <f>+I42+I46</f>
        <v>521112</v>
      </c>
      <c r="J47" s="29">
        <f t="shared" si="6"/>
        <v>0.0982158709121483</v>
      </c>
      <c r="K47" s="42">
        <f>+K42+K46</f>
        <v>650227</v>
      </c>
      <c r="L47" s="29">
        <f t="shared" si="7"/>
        <v>0.11023662762487739</v>
      </c>
      <c r="M47" s="19">
        <f t="shared" si="4"/>
        <v>0.24776823408403567</v>
      </c>
      <c r="N47" s="28">
        <f>+N42+N46</f>
        <v>141081</v>
      </c>
      <c r="O47" s="29">
        <f t="shared" si="8"/>
        <v>0.11358703178288831</v>
      </c>
      <c r="P47" s="28">
        <f>+P42+P46</f>
        <v>163695</v>
      </c>
      <c r="Q47" s="29">
        <f t="shared" si="9"/>
        <v>0.10407705879547947</v>
      </c>
      <c r="R47" s="19">
        <f t="shared" si="5"/>
        <v>0.16029089671890617</v>
      </c>
      <c r="S47" s="119"/>
      <c r="T47" s="13"/>
    </row>
    <row r="48" spans="1:19" s="13" customFormat="1" ht="15">
      <c r="A48" s="85" t="s">
        <v>54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106">
        <v>7592</v>
      </c>
      <c r="I48" s="44">
        <v>12296</v>
      </c>
      <c r="J48" s="19">
        <f t="shared" si="6"/>
        <v>0.0023174717694771476</v>
      </c>
      <c r="K48" s="44">
        <v>12207</v>
      </c>
      <c r="L48" s="19">
        <f t="shared" si="7"/>
        <v>0.0020695211263403062</v>
      </c>
      <c r="M48" s="19">
        <f t="shared" si="4"/>
        <v>-0.007238126219908913</v>
      </c>
      <c r="N48" s="18">
        <v>2375</v>
      </c>
      <c r="O48" s="19">
        <f t="shared" si="8"/>
        <v>0.001912158267125692</v>
      </c>
      <c r="P48" s="18">
        <v>7447</v>
      </c>
      <c r="Q48" s="19">
        <f t="shared" si="9"/>
        <v>0.004734792491218031</v>
      </c>
      <c r="R48" s="19">
        <f t="shared" si="5"/>
        <v>2.1355789473684212</v>
      </c>
      <c r="S48" s="100"/>
    </row>
    <row r="49" spans="1:19" s="13" customFormat="1" ht="15">
      <c r="A49" s="85" t="s">
        <v>55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106">
        <v>-84666</v>
      </c>
      <c r="I49" s="44">
        <v>-70722</v>
      </c>
      <c r="J49" s="19">
        <f t="shared" si="6"/>
        <v>-0.013329232147117993</v>
      </c>
      <c r="K49" s="44">
        <v>-101111</v>
      </c>
      <c r="L49" s="19">
        <f t="shared" si="7"/>
        <v>-0.017141914524895118</v>
      </c>
      <c r="M49" s="19">
        <f t="shared" si="4"/>
        <v>0.4296965583552501</v>
      </c>
      <c r="N49" s="18">
        <v>-16818</v>
      </c>
      <c r="O49" s="19">
        <f t="shared" si="8"/>
        <v>-0.013540495889061005</v>
      </c>
      <c r="P49" s="18">
        <v>-39145</v>
      </c>
      <c r="Q49" s="19">
        <f t="shared" si="9"/>
        <v>-0.02488833786339866</v>
      </c>
      <c r="R49" s="19">
        <f t="shared" si="5"/>
        <v>1.32756570341301</v>
      </c>
      <c r="S49" s="100"/>
    </row>
    <row r="50" spans="1:19" s="13" customFormat="1" ht="15">
      <c r="A50" s="85" t="s">
        <v>56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106">
        <v>-3636</v>
      </c>
      <c r="I50" s="44">
        <v>1782</v>
      </c>
      <c r="J50" s="19">
        <f t="shared" si="6"/>
        <v>0.00033586001083346433</v>
      </c>
      <c r="K50" s="44">
        <v>8732</v>
      </c>
      <c r="L50" s="19">
        <f t="shared" si="7"/>
        <v>0.0014803849000740192</v>
      </c>
      <c r="M50" s="19">
        <f t="shared" si="4"/>
        <v>3.900112233445567</v>
      </c>
      <c r="N50" s="18">
        <v>-1758</v>
      </c>
      <c r="O50" s="19">
        <f t="shared" si="8"/>
        <v>-0.0014153996773081964</v>
      </c>
      <c r="P50" s="18">
        <v>7445</v>
      </c>
      <c r="Q50" s="19">
        <f t="shared" si="9"/>
        <v>0.004733520893932892</v>
      </c>
      <c r="R50" s="19">
        <f t="shared" si="5"/>
        <v>-5.234926052332196</v>
      </c>
      <c r="S50" s="100"/>
    </row>
    <row r="51" spans="1:19" s="13" customFormat="1" ht="15">
      <c r="A51" s="85" t="s">
        <v>57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106">
        <v>-26933</v>
      </c>
      <c r="I51" s="44">
        <v>-13536</v>
      </c>
      <c r="J51" s="19">
        <f t="shared" si="6"/>
        <v>-0.002551179072189547</v>
      </c>
      <c r="K51" s="44">
        <v>-54534</v>
      </c>
      <c r="L51" s="19">
        <f t="shared" si="7"/>
        <v>-0.009245454665670701</v>
      </c>
      <c r="M51" s="19">
        <f t="shared" si="4"/>
        <v>3.0288120567375887</v>
      </c>
      <c r="N51" s="18">
        <v>-7981</v>
      </c>
      <c r="O51" s="19">
        <f t="shared" si="8"/>
        <v>-0.006425656896812694</v>
      </c>
      <c r="P51" s="18">
        <v>-8069</v>
      </c>
      <c r="Q51" s="19">
        <f t="shared" si="9"/>
        <v>-0.005130259246896508</v>
      </c>
      <c r="R51" s="19">
        <f t="shared" si="5"/>
        <v>0.011026187194587145</v>
      </c>
      <c r="S51" s="100"/>
    </row>
    <row r="52" spans="1:19" s="13" customFormat="1" ht="15">
      <c r="A52" s="85" t="s">
        <v>58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106">
        <v>33531</v>
      </c>
      <c r="I52" s="44">
        <v>35188</v>
      </c>
      <c r="J52" s="19">
        <f t="shared" si="6"/>
        <v>0.006632010135357993</v>
      </c>
      <c r="K52" s="44">
        <v>39510</v>
      </c>
      <c r="L52" s="19">
        <f t="shared" si="7"/>
        <v>0.0066983517409441706</v>
      </c>
      <c r="M52" s="19">
        <f t="shared" si="4"/>
        <v>0.12282596339661248</v>
      </c>
      <c r="N52" s="18">
        <v>8803</v>
      </c>
      <c r="O52" s="19">
        <f t="shared" si="8"/>
        <v>0.007087464937055776</v>
      </c>
      <c r="P52" s="18">
        <v>9657</v>
      </c>
      <c r="Q52" s="19">
        <f t="shared" si="9"/>
        <v>0.006139907491297506</v>
      </c>
      <c r="R52" s="19">
        <f t="shared" si="5"/>
        <v>0.09701238214245143</v>
      </c>
      <c r="S52" s="100"/>
    </row>
    <row r="53" spans="1:19" s="13" customFormat="1" ht="15">
      <c r="A53" s="85" t="s">
        <v>59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106">
        <v>11185</v>
      </c>
      <c r="I53" s="44">
        <v>0</v>
      </c>
      <c r="J53" s="19">
        <f t="shared" si="6"/>
        <v>0</v>
      </c>
      <c r="K53" s="44">
        <v>107</v>
      </c>
      <c r="L53" s="19">
        <f t="shared" si="7"/>
        <v>1.8140309700861208E-05</v>
      </c>
      <c r="M53" s="19">
        <f t="shared" si="4"/>
        <v>0</v>
      </c>
      <c r="N53" s="18">
        <v>0</v>
      </c>
      <c r="O53" s="19">
        <f t="shared" si="8"/>
        <v>0</v>
      </c>
      <c r="P53" s="18">
        <v>0</v>
      </c>
      <c r="Q53" s="19">
        <f t="shared" si="9"/>
        <v>0</v>
      </c>
      <c r="R53" s="19">
        <f t="shared" si="5"/>
        <v>0</v>
      </c>
      <c r="S53" s="100"/>
    </row>
    <row r="54" spans="1:20" s="30" customFormat="1" ht="15">
      <c r="A54" s="79" t="s">
        <v>60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109">
        <f>SUM(H48:H53)</f>
        <v>-62927</v>
      </c>
      <c r="I54" s="42">
        <f>SUM(I48:I53)</f>
        <v>-34992</v>
      </c>
      <c r="J54" s="29">
        <f t="shared" si="6"/>
        <v>-0.0065950693036389355</v>
      </c>
      <c r="K54" s="42">
        <f>SUM(K48:K53)</f>
        <v>-95089</v>
      </c>
      <c r="L54" s="29">
        <f t="shared" si="7"/>
        <v>-0.016120971113506462</v>
      </c>
      <c r="M54" s="19">
        <f t="shared" si="4"/>
        <v>1.717449702789209</v>
      </c>
      <c r="N54" s="28">
        <f>SUM(N48:N53)</f>
        <v>-15379</v>
      </c>
      <c r="O54" s="29">
        <f t="shared" si="8"/>
        <v>-0.012381929259000429</v>
      </c>
      <c r="P54" s="28">
        <f>SUM(P48:P53)</f>
        <v>-22665</v>
      </c>
      <c r="Q54" s="29">
        <f t="shared" si="9"/>
        <v>-0.014410376233846741</v>
      </c>
      <c r="R54" s="19">
        <f t="shared" si="5"/>
        <v>0.4737629234670655</v>
      </c>
      <c r="S54" s="119"/>
      <c r="T54" s="13"/>
    </row>
    <row r="55" spans="1:20" s="30" customFormat="1" ht="15">
      <c r="A55" s="79" t="s">
        <v>61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109">
        <f>+H47+H54</f>
        <v>369568.01641320647</v>
      </c>
      <c r="I55" s="42">
        <f>+I47+I54</f>
        <v>486120</v>
      </c>
      <c r="J55" s="29">
        <f t="shared" si="6"/>
        <v>0.09162080160850936</v>
      </c>
      <c r="K55" s="42">
        <f>+K47+K54</f>
        <v>555138</v>
      </c>
      <c r="L55" s="29">
        <f t="shared" si="7"/>
        <v>0.09411565651137092</v>
      </c>
      <c r="M55" s="19">
        <f t="shared" si="4"/>
        <v>0.1419772895581338</v>
      </c>
      <c r="N55" s="28">
        <f>+N47+N54</f>
        <v>125702</v>
      </c>
      <c r="O55" s="29">
        <f t="shared" si="8"/>
        <v>0.10120510252388788</v>
      </c>
      <c r="P55" s="28">
        <f>+P47+P54</f>
        <v>141030</v>
      </c>
      <c r="Q55" s="29">
        <f t="shared" si="9"/>
        <v>0.08966668256163272</v>
      </c>
      <c r="R55" s="19">
        <f t="shared" si="5"/>
        <v>0.12193918951170228</v>
      </c>
      <c r="S55" s="119"/>
      <c r="T55" s="13"/>
    </row>
    <row r="56" spans="1:19" s="13" customFormat="1" ht="15">
      <c r="A56" s="85" t="s">
        <v>62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106">
        <v>-113919.04882074999</v>
      </c>
      <c r="I56" s="44">
        <v>-138457</v>
      </c>
      <c r="J56" s="19">
        <f t="shared" si="6"/>
        <v>-0.02609549355778281</v>
      </c>
      <c r="K56" s="44">
        <v>-174487</v>
      </c>
      <c r="L56" s="19">
        <f t="shared" si="7"/>
        <v>-0.0295817590539642</v>
      </c>
      <c r="M56" s="19">
        <f t="shared" si="4"/>
        <v>0.2602251962703222</v>
      </c>
      <c r="N56" s="18">
        <v>-46692</v>
      </c>
      <c r="O56" s="19">
        <f t="shared" si="8"/>
        <v>-0.03759262897205592</v>
      </c>
      <c r="P56" s="18">
        <v>-54819</v>
      </c>
      <c r="Q56" s="19">
        <f t="shared" si="9"/>
        <v>-0.03485384578703925</v>
      </c>
      <c r="R56" s="19">
        <f t="shared" si="5"/>
        <v>0.1740555127216654</v>
      </c>
      <c r="S56" s="100"/>
    </row>
    <row r="57" spans="1:19" s="13" customFormat="1" ht="15">
      <c r="A57" s="85" t="s">
        <v>38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106">
        <v>-2137.621693639999</v>
      </c>
      <c r="I57" s="44">
        <v>-2156</v>
      </c>
      <c r="J57" s="19">
        <f t="shared" si="6"/>
        <v>-0.0004063491489096235</v>
      </c>
      <c r="K57" s="44">
        <v>-416</v>
      </c>
      <c r="L57" s="19">
        <f t="shared" si="7"/>
        <v>-7.052681154727348E-05</v>
      </c>
      <c r="M57" s="19">
        <f t="shared" si="4"/>
        <v>-0.8070500927643784</v>
      </c>
      <c r="N57" s="18">
        <v>276</v>
      </c>
      <c r="O57" s="19">
        <f t="shared" si="8"/>
        <v>0.00022221291862176463</v>
      </c>
      <c r="P57" s="18">
        <v>-1156</v>
      </c>
      <c r="Q57" s="19">
        <f t="shared" si="9"/>
        <v>-0.0007349832308108023</v>
      </c>
      <c r="R57" s="19">
        <f t="shared" si="5"/>
        <v>-5.188405797101449</v>
      </c>
      <c r="S57" s="100"/>
    </row>
    <row r="58" spans="1:20" s="30" customFormat="1" ht="15">
      <c r="A58" s="91" t="s">
        <v>63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121">
        <f>+H55+H56+H57</f>
        <v>253511.3458988165</v>
      </c>
      <c r="I58" s="95">
        <f>+I55+I56+I57</f>
        <v>345507</v>
      </c>
      <c r="J58" s="94">
        <f t="shared" si="6"/>
        <v>0.06511895890181692</v>
      </c>
      <c r="K58" s="95">
        <f>+K55+K56+K57</f>
        <v>380235</v>
      </c>
      <c r="L58" s="94">
        <f t="shared" si="7"/>
        <v>0.06446337064585946</v>
      </c>
      <c r="M58" s="94">
        <f>+(K58-I58)/I58</f>
        <v>0.10051315892297406</v>
      </c>
      <c r="N58" s="93">
        <f>+N55+N56+N57</f>
        <v>79286</v>
      </c>
      <c r="O58" s="94">
        <f t="shared" si="8"/>
        <v>0.06383468647045373</v>
      </c>
      <c r="P58" s="93">
        <f>+P55+P56+P57</f>
        <v>85055</v>
      </c>
      <c r="Q58" s="94">
        <f t="shared" si="9"/>
        <v>0.05407785354378268</v>
      </c>
      <c r="R58" s="94">
        <f>+(P58-N58)/N58</f>
        <v>0.07276189995711727</v>
      </c>
      <c r="S58" s="119"/>
      <c r="T58" s="13"/>
    </row>
    <row r="59" spans="1:20" s="30" customFormat="1" ht="15.75" thickBot="1">
      <c r="A59" s="74" t="s">
        <v>64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107">
        <v>568131.170418807</v>
      </c>
      <c r="I59" s="60">
        <v>671095</v>
      </c>
      <c r="J59" s="34">
        <f t="shared" si="6"/>
        <v>0.1264837115433691</v>
      </c>
      <c r="K59" s="60">
        <v>832827</v>
      </c>
      <c r="L59" s="34">
        <f t="shared" si="7"/>
        <v>0.1411938290396181</v>
      </c>
      <c r="M59" s="34">
        <f>+(K59-I59)/I59</f>
        <v>0.24099717625671477</v>
      </c>
      <c r="N59" s="23">
        <v>179705</v>
      </c>
      <c r="O59" s="34">
        <f t="shared" si="8"/>
        <v>0.14468395848160948</v>
      </c>
      <c r="P59" s="23">
        <v>218965</v>
      </c>
      <c r="Q59" s="34">
        <f t="shared" si="9"/>
        <v>0.13921764977031775</v>
      </c>
      <c r="R59" s="34">
        <f>+(P59-N59)/N59</f>
        <v>0.2184691577863721</v>
      </c>
      <c r="S59" s="119"/>
      <c r="T59" s="13"/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89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58"/>
  <sheetViews>
    <sheetView zoomScalePageLayoutView="0" workbookViewId="0" topLeftCell="F34">
      <selection activeCell="Q49" sqref="Q49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78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92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16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17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18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54</v>
      </c>
      <c r="M11" s="18">
        <v>54</v>
      </c>
      <c r="N11" s="19">
        <f>IF(L11&lt;&gt;0,(M11-L11)/L11,0)</f>
        <v>0</v>
      </c>
      <c r="O11" s="10"/>
    </row>
    <row r="12" spans="1:15" s="13" customFormat="1" ht="15">
      <c r="A12" s="124" t="s">
        <v>19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3874040</v>
      </c>
      <c r="M12" s="18">
        <v>3881179</v>
      </c>
      <c r="N12" s="19">
        <f aca="true" t="shared" si="0" ref="N12:N17">IF(L12&lt;&gt;0,(M12-L12)/L12,0)</f>
        <v>0.0018427791143096096</v>
      </c>
      <c r="O12" s="10"/>
    </row>
    <row r="13" spans="1:20" s="20" customFormat="1" ht="14.25" customHeight="1">
      <c r="A13" s="124" t="s">
        <v>20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38038</v>
      </c>
      <c r="M13" s="18">
        <v>39341</v>
      </c>
      <c r="N13" s="19">
        <f t="shared" si="0"/>
        <v>0.03425521846574478</v>
      </c>
      <c r="O13" s="10"/>
      <c r="P13" s="13"/>
      <c r="R13" s="13"/>
      <c r="S13" s="13"/>
      <c r="T13" s="13"/>
    </row>
    <row r="14" spans="1:20" s="20" customFormat="1" ht="15">
      <c r="A14" s="124" t="s">
        <v>22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80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4843</v>
      </c>
      <c r="M15" s="18">
        <v>10373</v>
      </c>
      <c r="N15" s="19">
        <f t="shared" si="0"/>
        <v>1.1418542225893042</v>
      </c>
      <c r="O15" s="10"/>
      <c r="P15" s="13"/>
      <c r="R15" s="13"/>
      <c r="S15" s="13"/>
      <c r="T15" s="13"/>
    </row>
    <row r="16" spans="1:20" s="20" customFormat="1" ht="15">
      <c r="A16" s="125" t="s">
        <v>26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3555923</v>
      </c>
      <c r="M16" s="18">
        <v>3949667</v>
      </c>
      <c r="N16" s="19">
        <f t="shared" si="0"/>
        <v>0.11072905684403178</v>
      </c>
      <c r="O16" s="10"/>
      <c r="P16" s="13"/>
      <c r="R16" s="13"/>
      <c r="S16" s="13"/>
      <c r="T16" s="13"/>
    </row>
    <row r="17" spans="1:20" s="20" customFormat="1" ht="15.75" thickBot="1">
      <c r="A17" s="122" t="s">
        <v>84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7472898</v>
      </c>
      <c r="M17" s="23">
        <f>SUM(M11:M16)</f>
        <v>7880614</v>
      </c>
      <c r="N17" s="24">
        <f t="shared" si="0"/>
        <v>0.05455928877926609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28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29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81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174106</v>
      </c>
      <c r="M21" s="18">
        <v>173606</v>
      </c>
      <c r="N21" s="19">
        <f t="shared" si="2"/>
        <v>-0.0028718137226746926</v>
      </c>
      <c r="O21" s="10"/>
      <c r="P21" s="13"/>
      <c r="R21" s="13"/>
      <c r="S21" s="13"/>
      <c r="T21" s="13"/>
    </row>
    <row r="22" spans="1:15" s="13" customFormat="1" ht="15">
      <c r="A22" s="37" t="s">
        <v>32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1200</v>
      </c>
      <c r="M22" s="18">
        <v>1103</v>
      </c>
      <c r="N22" s="19">
        <f t="shared" si="2"/>
        <v>-0.08083333333333333</v>
      </c>
      <c r="O22" s="10"/>
    </row>
    <row r="23" spans="1:15" s="13" customFormat="1" ht="15">
      <c r="A23" s="37" t="s">
        <v>33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34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1719</v>
      </c>
      <c r="M24" s="18">
        <v>803</v>
      </c>
      <c r="N24" s="19">
        <f t="shared" si="2"/>
        <v>-0.532867946480512</v>
      </c>
      <c r="O24" s="10"/>
    </row>
    <row r="25" spans="1:15" s="13" customFormat="1" ht="15">
      <c r="A25" s="37" t="s">
        <v>82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30384</v>
      </c>
      <c r="M25" s="18">
        <v>32402</v>
      </c>
      <c r="N25" s="19">
        <f t="shared" si="2"/>
        <v>0.06641653501843076</v>
      </c>
      <c r="O25" s="10"/>
    </row>
    <row r="26" spans="1:20" s="30" customFormat="1" ht="15">
      <c r="A26" s="127" t="s">
        <v>37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207520</v>
      </c>
      <c r="M26" s="28">
        <f>SUM(M20:M25)</f>
        <v>207986</v>
      </c>
      <c r="N26" s="29">
        <f t="shared" si="2"/>
        <v>0.0022455666923670006</v>
      </c>
      <c r="O26" s="10"/>
      <c r="P26" s="13"/>
      <c r="R26" s="13"/>
      <c r="S26" s="13"/>
      <c r="T26" s="13"/>
    </row>
    <row r="27" spans="1:20" s="30" customFormat="1" ht="15">
      <c r="A27" s="126" t="s">
        <v>39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7265378</v>
      </c>
      <c r="M27" s="32">
        <f>+M17-M26</f>
        <v>7672628</v>
      </c>
      <c r="N27" s="33">
        <f t="shared" si="2"/>
        <v>0.056053518481763785</v>
      </c>
      <c r="O27" s="10"/>
      <c r="P27" s="13"/>
      <c r="R27" s="13"/>
      <c r="S27" s="13"/>
      <c r="T27" s="13"/>
    </row>
    <row r="28" spans="1:20" s="30" customFormat="1" ht="15.75" thickBot="1">
      <c r="A28" s="128" t="s">
        <v>40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7472898</v>
      </c>
      <c r="M28" s="23">
        <f>+M26+M27</f>
        <v>7880614</v>
      </c>
      <c r="N28" s="34">
        <f t="shared" si="2"/>
        <v>0.05455928877926609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15790.062153275392</v>
      </c>
      <c r="M30" s="36">
        <f>+M27/+(M29/1000000)</f>
        <v>16675.150694012213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79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93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16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8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83</v>
      </c>
      <c r="M37" s="15" t="s">
        <v>7</v>
      </c>
      <c r="N37" s="15" t="s">
        <v>90</v>
      </c>
      <c r="O37" s="40" t="s">
        <v>0</v>
      </c>
      <c r="P37" s="15" t="s">
        <v>45</v>
      </c>
      <c r="Q37" s="15" t="s">
        <v>91</v>
      </c>
      <c r="R37" s="40" t="s">
        <v>0</v>
      </c>
    </row>
    <row r="38" spans="1:18" s="30" customFormat="1" ht="15">
      <c r="A38" s="13" t="s">
        <v>66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f aca="true" t="shared" si="6" ref="M38:N41">+P38-K38</f>
        <v>88356</v>
      </c>
      <c r="N38" s="28">
        <f t="shared" si="6"/>
        <v>74755</v>
      </c>
      <c r="O38" s="19">
        <f>(N38-M38)/M38</f>
        <v>-0.15393408483860746</v>
      </c>
      <c r="P38" s="28">
        <v>165449</v>
      </c>
      <c r="Q38" s="28">
        <v>152987</v>
      </c>
      <c r="R38" s="19">
        <f>IF(P38&lt;&gt;0,(Q38-P38)/P38,0)</f>
        <v>-0.07532230475856608</v>
      </c>
    </row>
    <row r="39" spans="1:18" s="13" customFormat="1" ht="15">
      <c r="A39" s="13" t="s">
        <v>67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f t="shared" si="6"/>
        <v>-176</v>
      </c>
      <c r="N39" s="18">
        <f t="shared" si="6"/>
        <v>0</v>
      </c>
      <c r="O39" s="19">
        <f aca="true" t="shared" si="7" ref="O39:O49">(N39-M39)/M39</f>
        <v>-1</v>
      </c>
      <c r="P39" s="18">
        <v>-176</v>
      </c>
      <c r="Q39" s="18">
        <v>640</v>
      </c>
      <c r="R39" s="19">
        <f aca="true" t="shared" si="8" ref="R39:R49">IF(P39&lt;&gt;0,(Q39-P39)/P39,0)</f>
        <v>-4.636363636363637</v>
      </c>
    </row>
    <row r="40" spans="1:18" s="30" customFormat="1" ht="15">
      <c r="A40" s="13" t="s">
        <v>68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f t="shared" si="6"/>
        <v>9861</v>
      </c>
      <c r="N40" s="18">
        <f t="shared" si="6"/>
        <v>10926</v>
      </c>
      <c r="O40" s="19">
        <f t="shared" si="7"/>
        <v>0.10800121691512017</v>
      </c>
      <c r="P40" s="18">
        <v>18664</v>
      </c>
      <c r="Q40" s="18">
        <v>20548</v>
      </c>
      <c r="R40" s="19">
        <f t="shared" si="8"/>
        <v>0.10094299185597942</v>
      </c>
    </row>
    <row r="41" spans="1:18" s="30" customFormat="1" ht="15">
      <c r="A41" s="13" t="s">
        <v>69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f t="shared" si="6"/>
        <v>2920</v>
      </c>
      <c r="N41" s="18">
        <f t="shared" si="6"/>
        <v>3379</v>
      </c>
      <c r="O41" s="19">
        <f t="shared" si="7"/>
        <v>0.15719178082191781</v>
      </c>
      <c r="P41" s="18">
        <v>5570</v>
      </c>
      <c r="Q41" s="18">
        <v>6633</v>
      </c>
      <c r="R41" s="19">
        <f t="shared" si="8"/>
        <v>0.19084380610412927</v>
      </c>
    </row>
    <row r="42" spans="1:18" s="30" customFormat="1" ht="15">
      <c r="A42" s="30" t="s">
        <v>70</v>
      </c>
      <c r="B42" s="8">
        <f aca="true" t="shared" si="9" ref="B42:G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aca="true" t="shared" si="10" ref="H42:N42">SUM(H38:H41)</f>
        <v>275321</v>
      </c>
      <c r="I42" s="28">
        <f t="shared" si="10"/>
        <v>356474</v>
      </c>
      <c r="J42" s="113">
        <f t="shared" si="10"/>
        <v>398654</v>
      </c>
      <c r="K42" s="28">
        <f t="shared" si="10"/>
        <v>88546</v>
      </c>
      <c r="L42" s="28">
        <f t="shared" si="10"/>
        <v>91748</v>
      </c>
      <c r="M42" s="28">
        <f t="shared" si="10"/>
        <v>100961</v>
      </c>
      <c r="N42" s="28">
        <f t="shared" si="10"/>
        <v>89060</v>
      </c>
      <c r="O42" s="19">
        <f t="shared" si="7"/>
        <v>-0.117877200106972</v>
      </c>
      <c r="P42" s="28">
        <f>SUM(P38:P41)</f>
        <v>189507</v>
      </c>
      <c r="Q42" s="28">
        <f>SUM(Q38:Q41)</f>
        <v>180808</v>
      </c>
      <c r="R42" s="19">
        <f t="shared" si="8"/>
        <v>-0.04590331755555204</v>
      </c>
    </row>
    <row r="43" spans="1:18" s="13" customFormat="1" ht="15">
      <c r="A43" s="13" t="s">
        <v>71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f>+P43-K43</f>
        <v>1646</v>
      </c>
      <c r="N43" s="18">
        <f>+Q43-L43</f>
        <v>-6216</v>
      </c>
      <c r="O43" s="19">
        <f t="shared" si="7"/>
        <v>-4.7764277035236935</v>
      </c>
      <c r="P43" s="18">
        <v>-6685</v>
      </c>
      <c r="Q43" s="18">
        <v>-13021</v>
      </c>
      <c r="R43" s="19">
        <f t="shared" si="8"/>
        <v>0.9477935676888557</v>
      </c>
    </row>
    <row r="44" spans="1:18" s="30" customFormat="1" ht="15">
      <c r="A44" s="30" t="s">
        <v>72</v>
      </c>
      <c r="B44" s="8">
        <f aca="true" t="shared" si="11" ref="B44:G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aca="true" t="shared" si="12" ref="H44:N44">SUM(H42:H43)</f>
        <v>266317</v>
      </c>
      <c r="I44" s="28">
        <f t="shared" si="12"/>
        <v>346384</v>
      </c>
      <c r="J44" s="113">
        <f t="shared" si="12"/>
        <v>385103</v>
      </c>
      <c r="K44" s="28">
        <f t="shared" si="12"/>
        <v>80215</v>
      </c>
      <c r="L44" s="28">
        <f t="shared" si="12"/>
        <v>84943</v>
      </c>
      <c r="M44" s="28">
        <f t="shared" si="12"/>
        <v>102607</v>
      </c>
      <c r="N44" s="28">
        <f t="shared" si="12"/>
        <v>82844</v>
      </c>
      <c r="O44" s="19">
        <f t="shared" si="7"/>
        <v>-0.19260869141481576</v>
      </c>
      <c r="P44" s="28">
        <f>SUM(P42:P43)</f>
        <v>182822</v>
      </c>
      <c r="Q44" s="28">
        <f>SUM(Q42:Q43)</f>
        <v>167787</v>
      </c>
      <c r="R44" s="19">
        <f t="shared" si="8"/>
        <v>-0.08223846145431075</v>
      </c>
    </row>
    <row r="45" spans="1:18" s="30" customFormat="1" ht="15">
      <c r="A45" s="13" t="s">
        <v>73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f>+P45-K45</f>
        <v>51</v>
      </c>
      <c r="N45" s="18">
        <f>+Q45-L45</f>
        <v>1655</v>
      </c>
      <c r="O45" s="21" t="s">
        <v>94</v>
      </c>
      <c r="P45" s="18">
        <v>112</v>
      </c>
      <c r="Q45" s="18">
        <v>1662</v>
      </c>
      <c r="R45" s="21" t="s">
        <v>94</v>
      </c>
    </row>
    <row r="46" spans="1:18" s="13" customFormat="1" ht="15">
      <c r="A46" s="13" t="s">
        <v>74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f>+P46-K46</f>
        <v>-2839</v>
      </c>
      <c r="N46" s="18">
        <f>+Q46-L46</f>
        <v>-8</v>
      </c>
      <c r="O46" s="19">
        <f t="shared" si="7"/>
        <v>-0.9971821063754843</v>
      </c>
      <c r="P46" s="18">
        <v>-2966</v>
      </c>
      <c r="Q46" s="18">
        <v>-18</v>
      </c>
      <c r="R46" s="19">
        <f t="shared" si="8"/>
        <v>-0.9939312204989885</v>
      </c>
    </row>
    <row r="47" spans="1:18" s="30" customFormat="1" ht="15">
      <c r="A47" s="30" t="s">
        <v>75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N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19">
        <f t="shared" si="7"/>
        <v>-0.1535579398711668</v>
      </c>
      <c r="P47" s="28">
        <f>SUM(P44:P46)</f>
        <v>179968</v>
      </c>
      <c r="Q47" s="28">
        <f>SUM(Q44:Q46)</f>
        <v>169431</v>
      </c>
      <c r="R47" s="19">
        <f t="shared" si="8"/>
        <v>-0.058549297652916076</v>
      </c>
    </row>
    <row r="48" spans="1:18" s="13" customFormat="1" ht="15">
      <c r="A48" s="13" t="s">
        <v>76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f>+P48-K48</f>
        <v>911</v>
      </c>
      <c r="N48" s="18">
        <f>+Q48-L48</f>
        <v>-26</v>
      </c>
      <c r="O48" s="19">
        <f t="shared" si="7"/>
        <v>-1.0285400658616906</v>
      </c>
      <c r="P48" s="18">
        <v>-1378</v>
      </c>
      <c r="Q48" s="18">
        <v>-80</v>
      </c>
      <c r="R48" s="19">
        <f t="shared" si="8"/>
        <v>-0.941944847605225</v>
      </c>
    </row>
    <row r="49" spans="1:18" s="13" customFormat="1" ht="15.75" thickBot="1">
      <c r="A49" s="45" t="s">
        <v>77</v>
      </c>
      <c r="B49" s="46">
        <f aca="true" t="shared" si="15" ref="B49:G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aca="true" t="shared" si="16" ref="H49:N49">SUM(H47:H48)</f>
        <v>255982</v>
      </c>
      <c r="I49" s="47">
        <f t="shared" si="16"/>
        <v>345484</v>
      </c>
      <c r="J49" s="116">
        <f t="shared" si="16"/>
        <v>379896</v>
      </c>
      <c r="K49" s="47">
        <f t="shared" si="16"/>
        <v>77860</v>
      </c>
      <c r="L49" s="47">
        <f t="shared" si="16"/>
        <v>84886</v>
      </c>
      <c r="M49" s="47">
        <f t="shared" si="16"/>
        <v>100730</v>
      </c>
      <c r="N49" s="47">
        <f t="shared" si="16"/>
        <v>84465</v>
      </c>
      <c r="O49" s="34">
        <f t="shared" si="7"/>
        <v>-0.16147125980343494</v>
      </c>
      <c r="P49" s="47">
        <f>SUM(P47:P48)</f>
        <v>178590</v>
      </c>
      <c r="Q49" s="47">
        <f>SUM(Q47:Q48)</f>
        <v>169351</v>
      </c>
      <c r="R49" s="34">
        <f t="shared" si="8"/>
        <v>-0.05173301976594434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89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6:V82"/>
  <sheetViews>
    <sheetView tabSelected="1" zoomScalePageLayoutView="0" workbookViewId="0" topLeftCell="H37">
      <selection activeCell="V42" sqref="V42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85</v>
      </c>
      <c r="B6" s="5"/>
      <c r="C6" s="5"/>
      <c r="D6" s="5"/>
      <c r="E6" s="5"/>
      <c r="F6" s="5"/>
      <c r="G6" s="5"/>
    </row>
    <row r="7" spans="1:7" ht="15.75">
      <c r="A7" s="6" t="s">
        <v>92</v>
      </c>
      <c r="B7" s="6"/>
      <c r="C7" s="6"/>
      <c r="D7" s="6"/>
      <c r="E7" s="6"/>
      <c r="F7" s="6"/>
      <c r="G7" s="6"/>
    </row>
    <row r="8" spans="1:7" ht="15">
      <c r="A8" s="7" t="s">
        <v>16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17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18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313031</v>
      </c>
      <c r="M11" s="55">
        <v>224898</v>
      </c>
      <c r="N11" s="19">
        <f>+(M11-L11)/L11</f>
        <v>-0.28154719500624537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19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357100</v>
      </c>
      <c r="M12" s="55">
        <v>377411</v>
      </c>
      <c r="N12" s="19">
        <f aca="true" t="shared" si="1" ref="N12:N19">+(M12-L12)/L12</f>
        <v>0.0568776253150378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20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709725</v>
      </c>
      <c r="M13" s="55">
        <v>871888</v>
      </c>
      <c r="N13" s="19">
        <f t="shared" si="1"/>
        <v>0.22848709007009757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21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629949</v>
      </c>
      <c r="M14" s="55">
        <v>806820</v>
      </c>
      <c r="N14" s="19">
        <f t="shared" si="1"/>
        <v>0.2807703480757966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22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1171045</v>
      </c>
      <c r="M15" s="55">
        <v>1352509</v>
      </c>
      <c r="N15" s="19">
        <f t="shared" si="1"/>
        <v>0.15495903231728925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23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1027805</v>
      </c>
      <c r="M16" s="55">
        <v>1902487</v>
      </c>
      <c r="N16" s="19">
        <f t="shared" si="1"/>
        <v>0.8510194054319642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24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56987</v>
      </c>
      <c r="M17" s="55">
        <v>86392</v>
      </c>
      <c r="N17" s="19">
        <f t="shared" si="1"/>
        <v>0.5159948760243565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25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6728</v>
      </c>
      <c r="M18" s="55">
        <v>19791</v>
      </c>
      <c r="N18" s="19">
        <f t="shared" si="1"/>
        <v>1.9415873959571939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26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4679552</v>
      </c>
      <c r="M19" s="55">
        <v>5216883</v>
      </c>
      <c r="N19" s="19">
        <f t="shared" si="1"/>
        <v>0.1148253080636779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27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8951922</v>
      </c>
      <c r="M20" s="61">
        <f>SUM(M11:M19)</f>
        <v>10859079</v>
      </c>
      <c r="N20" s="34">
        <f>+(M20-L20)/L20</f>
        <v>0.21304441660684711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28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86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29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682715</v>
      </c>
      <c r="M23" s="55">
        <v>2005211</v>
      </c>
      <c r="N23" s="19">
        <f aca="true" t="shared" si="3" ref="N23:N34">+(M23-L23)/L23</f>
        <v>1.9371128508967872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30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170685</v>
      </c>
      <c r="M24" s="55">
        <v>201252</v>
      </c>
      <c r="N24" s="19">
        <f t="shared" si="3"/>
        <v>0.1790842780560682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31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300091</v>
      </c>
      <c r="M25" s="55">
        <v>376963</v>
      </c>
      <c r="N25" s="19">
        <f t="shared" si="3"/>
        <v>0.25616229743644425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32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97757</v>
      </c>
      <c r="M26" s="55">
        <v>68781</v>
      </c>
      <c r="N26" s="19">
        <f t="shared" si="3"/>
        <v>-0.29640844133923916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33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56009</v>
      </c>
      <c r="M27" s="55">
        <v>50970</v>
      </c>
      <c r="N27" s="19">
        <f t="shared" si="3"/>
        <v>-0.08996768376510918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34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237495</v>
      </c>
      <c r="M28" s="55">
        <v>261277</v>
      </c>
      <c r="N28" s="19">
        <f t="shared" si="3"/>
        <v>0.10013684498621024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35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149022</v>
      </c>
      <c r="M29" s="55">
        <v>228427</v>
      </c>
      <c r="N29" s="19">
        <f t="shared" si="3"/>
        <v>0.5328407886083933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36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2354</v>
      </c>
      <c r="M30" s="55">
        <v>440</v>
      </c>
      <c r="N30" s="19">
        <f t="shared" si="3"/>
        <v>-0.8130841121495327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37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1696128</v>
      </c>
      <c r="M31" s="69">
        <f>SUM(M23:M30)</f>
        <v>3193321</v>
      </c>
      <c r="N31" s="19">
        <f t="shared" si="3"/>
        <v>0.8827122717153423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38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3799</v>
      </c>
      <c r="M32" s="55">
        <v>19512</v>
      </c>
      <c r="N32" s="19">
        <f t="shared" si="3"/>
        <v>4.136088444327455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39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v>7251995</v>
      </c>
      <c r="M33" s="73">
        <f>M20-M31-M32</f>
        <v>7646246</v>
      </c>
      <c r="N33" s="33">
        <f t="shared" si="3"/>
        <v>0.054364488668290585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40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8951922</v>
      </c>
      <c r="M34" s="61">
        <f>+M31+M32+M33</f>
        <v>10859079</v>
      </c>
      <c r="N34" s="34">
        <f t="shared" si="3"/>
        <v>0.21304441660684711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41</v>
      </c>
      <c r="B36" s="5"/>
      <c r="C36" s="5"/>
      <c r="D36" s="5"/>
      <c r="E36" s="5"/>
      <c r="F36" s="5"/>
      <c r="G36" s="5"/>
    </row>
    <row r="37" spans="1:7" ht="15.75">
      <c r="A37" s="6" t="s">
        <v>93</v>
      </c>
      <c r="B37" s="6"/>
      <c r="C37" s="6"/>
      <c r="D37" s="6"/>
      <c r="E37" s="6"/>
      <c r="F37" s="6"/>
      <c r="G37" s="6"/>
    </row>
    <row r="38" spans="1:7" ht="15">
      <c r="A38" s="7" t="s">
        <v>16</v>
      </c>
      <c r="B38" s="7"/>
      <c r="C38" s="7"/>
      <c r="D38" s="7"/>
      <c r="E38" s="7"/>
      <c r="F38" s="7"/>
      <c r="G38" s="7"/>
    </row>
    <row r="39" spans="1:22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83</v>
      </c>
      <c r="M39" s="15" t="s">
        <v>7</v>
      </c>
      <c r="N39" s="51" t="s">
        <v>43</v>
      </c>
      <c r="O39" s="15" t="s">
        <v>90</v>
      </c>
      <c r="P39" s="51" t="s">
        <v>43</v>
      </c>
      <c r="Q39" s="76" t="s">
        <v>0</v>
      </c>
      <c r="R39" s="129" t="s">
        <v>45</v>
      </c>
      <c r="S39" s="130" t="s">
        <v>43</v>
      </c>
      <c r="T39" s="129" t="s">
        <v>91</v>
      </c>
      <c r="U39" s="130" t="s">
        <v>43</v>
      </c>
      <c r="V39" s="131" t="s">
        <v>0</v>
      </c>
    </row>
    <row r="40" spans="1:22" s="30" customFormat="1" ht="15">
      <c r="A40" s="79" t="s">
        <v>46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29">
        <v>1</v>
      </c>
      <c r="O40" s="81">
        <v>1429566</v>
      </c>
      <c r="P40" s="29">
        <v>1</v>
      </c>
      <c r="Q40" s="29">
        <f>(O40-M40)/M40</f>
        <v>0.04307987309963197</v>
      </c>
      <c r="R40" s="132">
        <v>2612576</v>
      </c>
      <c r="S40" s="133">
        <v>1</v>
      </c>
      <c r="T40" s="132">
        <v>3002391</v>
      </c>
      <c r="U40" s="133">
        <v>1</v>
      </c>
      <c r="V40" s="134">
        <f aca="true" t="shared" si="4" ref="V40:V57">IF(R40&lt;&gt;0,(T40-R40)/R40,0)</f>
        <v>0.14920714268216503</v>
      </c>
    </row>
    <row r="41" spans="1:22" s="13" customFormat="1" ht="15">
      <c r="A41" s="85" t="s">
        <v>47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19">
        <f>+M41/$M$40</f>
        <v>-0.5476591435100735</v>
      </c>
      <c r="O41" s="87">
        <v>-772014</v>
      </c>
      <c r="P41" s="19">
        <f>+O41/$O$40</f>
        <v>-0.540033828448634</v>
      </c>
      <c r="Q41" s="19">
        <f aca="true" t="shared" si="5" ref="Q41:Q59">(O41-M41)/M41</f>
        <v>0.028556582909216872</v>
      </c>
      <c r="R41" s="135">
        <v>-1433381</v>
      </c>
      <c r="S41" s="134">
        <f>+R41/$R$40</f>
        <v>-0.5486466231030217</v>
      </c>
      <c r="T41" s="135">
        <v>-1647744</v>
      </c>
      <c r="U41" s="134">
        <f>+T41/$T$40</f>
        <v>-0.5488105979534311</v>
      </c>
      <c r="V41" s="134">
        <f>IF(R41&lt;&gt;0,(T41-R41)/R41,0)</f>
        <v>0.14955060796815361</v>
      </c>
    </row>
    <row r="42" spans="1:22" s="30" customFormat="1" ht="15">
      <c r="A42" s="79" t="s">
        <v>48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M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9">
        <f>+M42/$M$40</f>
        <v>0.4523408564899265</v>
      </c>
      <c r="O42" s="28">
        <f>SUM(O40:O41)</f>
        <v>657552</v>
      </c>
      <c r="P42" s="29">
        <f>+O42/$O$40</f>
        <v>0.45996617155136593</v>
      </c>
      <c r="Q42" s="29">
        <f t="shared" si="5"/>
        <v>0.060663543803956485</v>
      </c>
      <c r="R42" s="136">
        <f>SUM(R40:R41)</f>
        <v>1179195</v>
      </c>
      <c r="S42" s="133">
        <f aca="true" t="shared" si="7" ref="S42:S59">+R42/$R$40</f>
        <v>0.4513533768969783</v>
      </c>
      <c r="T42" s="136">
        <f>SUM(T40:T41)</f>
        <v>1354647</v>
      </c>
      <c r="U42" s="133">
        <f aca="true" t="shared" si="8" ref="U42:U59">+T42/$T$40</f>
        <v>0.4511894020465689</v>
      </c>
      <c r="V42" s="134">
        <f t="shared" si="4"/>
        <v>0.14878964039026624</v>
      </c>
    </row>
    <row r="43" spans="1:22" s="13" customFormat="1" ht="15">
      <c r="A43" s="85" t="s">
        <v>49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9">
        <f aca="true" t="shared" si="9" ref="N43:N59">+M43/$M$40</f>
        <v>-0.05394943831702327</v>
      </c>
      <c r="O43" s="18">
        <v>-95056</v>
      </c>
      <c r="P43" s="19">
        <f>+O43/$O$40</f>
        <v>-0.06649290763770263</v>
      </c>
      <c r="Q43" s="19">
        <f t="shared" si="5"/>
        <v>0.285600292132704</v>
      </c>
      <c r="R43" s="137">
        <v>-138812</v>
      </c>
      <c r="S43" s="134">
        <f t="shared" si="7"/>
        <v>-0.05313223423931017</v>
      </c>
      <c r="T43" s="137">
        <v>-198165</v>
      </c>
      <c r="U43" s="134">
        <f t="shared" si="8"/>
        <v>-0.06600239609031602</v>
      </c>
      <c r="V43" s="134">
        <f t="shared" si="4"/>
        <v>0.4275783073509495</v>
      </c>
    </row>
    <row r="44" spans="1:22" s="13" customFormat="1" ht="15">
      <c r="A44" s="85" t="s">
        <v>50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9">
        <f t="shared" si="9"/>
        <v>-0.259423403019575</v>
      </c>
      <c r="O44" s="18">
        <v>-396371</v>
      </c>
      <c r="P44" s="19">
        <f aca="true" t="shared" si="10" ref="P44:P59">+O44/$O$40</f>
        <v>-0.27726666694647184</v>
      </c>
      <c r="Q44" s="19">
        <f t="shared" si="5"/>
        <v>0.11482339837883143</v>
      </c>
      <c r="R44" s="137">
        <v>-681105</v>
      </c>
      <c r="S44" s="134">
        <f t="shared" si="7"/>
        <v>-0.2607024637752165</v>
      </c>
      <c r="T44" s="137">
        <v>-797291</v>
      </c>
      <c r="U44" s="134">
        <f t="shared" si="8"/>
        <v>-0.2655520217053675</v>
      </c>
      <c r="V44" s="134">
        <f t="shared" si="4"/>
        <v>0.1705845647881017</v>
      </c>
    </row>
    <row r="45" spans="1:22" s="13" customFormat="1" ht="15">
      <c r="A45" s="85" t="s">
        <v>51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9">
        <f t="shared" si="9"/>
        <v>-0.024586946306668106</v>
      </c>
      <c r="O45" s="18">
        <v>-21941</v>
      </c>
      <c r="P45" s="19">
        <f t="shared" si="10"/>
        <v>-0.015348014712157396</v>
      </c>
      <c r="Q45" s="19">
        <f t="shared" si="5"/>
        <v>-0.3488737869840045</v>
      </c>
      <c r="R45" s="137">
        <v>-61435</v>
      </c>
      <c r="S45" s="134">
        <f t="shared" si="7"/>
        <v>-0.02351510539789082</v>
      </c>
      <c r="T45" s="137">
        <v>-51312</v>
      </c>
      <c r="U45" s="134">
        <f t="shared" si="8"/>
        <v>-0.017090378967962533</v>
      </c>
      <c r="V45" s="134">
        <f t="shared" si="4"/>
        <v>-0.16477577927891268</v>
      </c>
    </row>
    <row r="46" spans="1:22" s="30" customFormat="1" ht="15">
      <c r="A46" s="79" t="s">
        <v>52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M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9">
        <f t="shared" si="9"/>
        <v>-0.3379597876432664</v>
      </c>
      <c r="O46" s="28">
        <f>SUM(O43:O45)</f>
        <v>-513368</v>
      </c>
      <c r="P46" s="29">
        <f t="shared" si="10"/>
        <v>-0.3591075892963319</v>
      </c>
      <c r="Q46" s="29">
        <f t="shared" si="5"/>
        <v>0.1083504972127587</v>
      </c>
      <c r="R46" s="136">
        <f>SUM(R43:R45)</f>
        <v>-881352</v>
      </c>
      <c r="S46" s="133">
        <f t="shared" si="7"/>
        <v>-0.3373498034124175</v>
      </c>
      <c r="T46" s="136">
        <f>SUM(T43:T45)</f>
        <v>-1046768</v>
      </c>
      <c r="U46" s="133">
        <f t="shared" si="8"/>
        <v>-0.348644796763646</v>
      </c>
      <c r="V46" s="134">
        <f t="shared" si="4"/>
        <v>0.18768437582259984</v>
      </c>
    </row>
    <row r="47" spans="1:22" s="30" customFormat="1" ht="15">
      <c r="A47" s="79" t="s">
        <v>53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M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9">
        <f t="shared" si="9"/>
        <v>0.1143810688466601</v>
      </c>
      <c r="O47" s="28">
        <f>+O42+O46</f>
        <v>144184</v>
      </c>
      <c r="P47" s="29">
        <f t="shared" si="10"/>
        <v>0.10085858225503405</v>
      </c>
      <c r="Q47" s="29">
        <f t="shared" si="5"/>
        <v>-0.0802362817519552</v>
      </c>
      <c r="R47" s="136">
        <f>+R42+R46</f>
        <v>297843</v>
      </c>
      <c r="S47" s="133">
        <f t="shared" si="7"/>
        <v>0.11400357348456083</v>
      </c>
      <c r="T47" s="136">
        <f>+T42+T46</f>
        <v>307879</v>
      </c>
      <c r="U47" s="133">
        <f t="shared" si="8"/>
        <v>0.10254460528292285</v>
      </c>
      <c r="V47" s="134">
        <f t="shared" si="4"/>
        <v>0.033695604731351754</v>
      </c>
    </row>
    <row r="48" spans="1:22" s="13" customFormat="1" ht="15">
      <c r="A48" s="85" t="s">
        <v>54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9">
        <f t="shared" si="9"/>
        <v>0.0020211247668774864</v>
      </c>
      <c r="O48" s="18">
        <v>2628</v>
      </c>
      <c r="P48" s="19">
        <f t="shared" si="10"/>
        <v>0.0018383201615035612</v>
      </c>
      <c r="Q48" s="19">
        <f t="shared" si="5"/>
        <v>-0.051263537906137184</v>
      </c>
      <c r="R48" s="137">
        <v>5145</v>
      </c>
      <c r="S48" s="134">
        <f t="shared" si="7"/>
        <v>0.0019693207011011356</v>
      </c>
      <c r="T48" s="137">
        <v>10075</v>
      </c>
      <c r="U48" s="134">
        <f t="shared" si="8"/>
        <v>0.003355658873211384</v>
      </c>
      <c r="V48" s="134">
        <f t="shared" si="4"/>
        <v>0.9582118561710399</v>
      </c>
    </row>
    <row r="49" spans="1:22" s="13" customFormat="1" ht="15">
      <c r="A49" s="85" t="s">
        <v>55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9">
        <f t="shared" si="9"/>
        <v>-0.012625098137646623</v>
      </c>
      <c r="O49" s="18">
        <v>-38121</v>
      </c>
      <c r="P49" s="19">
        <f t="shared" si="10"/>
        <v>-0.02666613503678739</v>
      </c>
      <c r="Q49" s="19">
        <f t="shared" si="5"/>
        <v>1.203143963474542</v>
      </c>
      <c r="R49" s="137">
        <v>-34121</v>
      </c>
      <c r="S49" s="134">
        <f t="shared" si="7"/>
        <v>-0.013060289920752545</v>
      </c>
      <c r="T49" s="137">
        <v>-77266</v>
      </c>
      <c r="U49" s="134">
        <f t="shared" si="8"/>
        <v>-0.025734822679657647</v>
      </c>
      <c r="V49" s="134">
        <f t="shared" si="4"/>
        <v>1.264470560651798</v>
      </c>
    </row>
    <row r="50" spans="1:22" s="13" customFormat="1" ht="15">
      <c r="A50" s="85" t="s">
        <v>56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9">
        <f t="shared" si="9"/>
        <v>0.002947777638333951</v>
      </c>
      <c r="O50" s="18">
        <v>-2408</v>
      </c>
      <c r="P50" s="19">
        <f t="shared" si="10"/>
        <v>-0.0016844273017125478</v>
      </c>
      <c r="Q50" s="19">
        <f t="shared" si="5"/>
        <v>-1.5960396039603961</v>
      </c>
      <c r="R50" s="137">
        <v>2282</v>
      </c>
      <c r="S50" s="134">
        <f t="shared" si="7"/>
        <v>0.0008734674130054015</v>
      </c>
      <c r="T50" s="137">
        <v>5037</v>
      </c>
      <c r="U50" s="134">
        <f t="shared" si="8"/>
        <v>0.0016776629026665746</v>
      </c>
      <c r="V50" s="134">
        <f t="shared" si="4"/>
        <v>1.2072743207712533</v>
      </c>
    </row>
    <row r="51" spans="1:22" s="13" customFormat="1" ht="15">
      <c r="A51" s="85" t="s">
        <v>57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9">
        <f t="shared" si="9"/>
        <v>-0.011000172196911547</v>
      </c>
      <c r="O51" s="18">
        <v>-7510</v>
      </c>
      <c r="P51" s="19">
        <f t="shared" si="10"/>
        <v>-0.0052533426228659605</v>
      </c>
      <c r="Q51" s="19">
        <f t="shared" si="5"/>
        <v>-0.5018572565667285</v>
      </c>
      <c r="R51" s="137">
        <v>-23057</v>
      </c>
      <c r="S51" s="134">
        <f t="shared" si="7"/>
        <v>-0.008825389194419607</v>
      </c>
      <c r="T51" s="137">
        <v>-15579</v>
      </c>
      <c r="U51" s="134">
        <f t="shared" si="8"/>
        <v>-0.0051888644750134145</v>
      </c>
      <c r="V51" s="134">
        <f t="shared" si="4"/>
        <v>-0.32432666869063626</v>
      </c>
    </row>
    <row r="52" spans="1:22" s="13" customFormat="1" ht="15">
      <c r="A52" s="85" t="s">
        <v>58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9">
        <f t="shared" si="9"/>
        <v>0.007241026060105478</v>
      </c>
      <c r="O52" s="18">
        <v>10926</v>
      </c>
      <c r="P52" s="19">
        <f t="shared" si="10"/>
        <v>0.007642879027620971</v>
      </c>
      <c r="Q52" s="19">
        <f t="shared" si="5"/>
        <v>0.10096735187424426</v>
      </c>
      <c r="R52" s="137">
        <v>18727</v>
      </c>
      <c r="S52" s="134">
        <f t="shared" si="7"/>
        <v>0.007168021140820401</v>
      </c>
      <c r="T52" s="137">
        <v>20583</v>
      </c>
      <c r="U52" s="134">
        <f t="shared" si="8"/>
        <v>0.0068555361376982545</v>
      </c>
      <c r="V52" s="134">
        <f t="shared" si="4"/>
        <v>0.0991082394403802</v>
      </c>
    </row>
    <row r="53" spans="1:22" s="13" customFormat="1" ht="15">
      <c r="A53" s="85" t="s">
        <v>59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9">
        <f t="shared" si="9"/>
        <v>7.807232854003286E-05</v>
      </c>
      <c r="O53" s="18">
        <v>0</v>
      </c>
      <c r="P53" s="19">
        <f t="shared" si="10"/>
        <v>0</v>
      </c>
      <c r="Q53" s="19">
        <f t="shared" si="5"/>
        <v>-1</v>
      </c>
      <c r="R53" s="137">
        <v>107</v>
      </c>
      <c r="S53" s="134">
        <f t="shared" si="7"/>
        <v>4.095574635914898E-05</v>
      </c>
      <c r="T53" s="137">
        <v>0</v>
      </c>
      <c r="U53" s="134">
        <f t="shared" si="8"/>
        <v>0</v>
      </c>
      <c r="V53" s="134">
        <f t="shared" si="4"/>
        <v>-1</v>
      </c>
    </row>
    <row r="54" spans="1:22" s="30" customFormat="1" ht="15">
      <c r="A54" s="79" t="s">
        <v>60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M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9">
        <f t="shared" si="9"/>
        <v>-0.01133726954070122</v>
      </c>
      <c r="O54" s="28">
        <f>SUM(O48:O53)</f>
        <v>-34485</v>
      </c>
      <c r="P54" s="29">
        <f t="shared" si="10"/>
        <v>-0.024122705772241366</v>
      </c>
      <c r="Q54" s="29">
        <f t="shared" si="5"/>
        <v>1.2193976058694813</v>
      </c>
      <c r="R54" s="136">
        <f>SUM(R48:R53)</f>
        <v>-30917</v>
      </c>
      <c r="S54" s="133">
        <f t="shared" si="7"/>
        <v>-0.011833914113886065</v>
      </c>
      <c r="T54" s="136">
        <f>SUM(T48:T53)</f>
        <v>-57150</v>
      </c>
      <c r="U54" s="133">
        <f t="shared" si="8"/>
        <v>-0.01903482924109485</v>
      </c>
      <c r="V54" s="134">
        <f t="shared" si="4"/>
        <v>0.8484975903224763</v>
      </c>
    </row>
    <row r="55" spans="1:22" s="30" customFormat="1" ht="15">
      <c r="A55" s="79" t="s">
        <v>61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4" ref="H55:M55">+H47+H54</f>
        <v>369568.01641320647</v>
      </c>
      <c r="I55" s="8">
        <f t="shared" si="14"/>
        <v>486120</v>
      </c>
      <c r="J55" s="8">
        <f t="shared" si="14"/>
        <v>555138</v>
      </c>
      <c r="K55" s="28">
        <f t="shared" si="14"/>
        <v>125702</v>
      </c>
      <c r="L55" s="28">
        <f t="shared" si="14"/>
        <v>141030</v>
      </c>
      <c r="M55" s="28">
        <f t="shared" si="14"/>
        <v>141224</v>
      </c>
      <c r="N55" s="29">
        <f t="shared" si="9"/>
        <v>0.10304379930595889</v>
      </c>
      <c r="O55" s="28">
        <f>+O47+O54</f>
        <v>109699</v>
      </c>
      <c r="P55" s="29">
        <f t="shared" si="10"/>
        <v>0.07673587648279268</v>
      </c>
      <c r="Q55" s="29">
        <f t="shared" si="5"/>
        <v>-0.22322693026681018</v>
      </c>
      <c r="R55" s="136">
        <f>+R47+R54</f>
        <v>266926</v>
      </c>
      <c r="S55" s="133">
        <f t="shared" si="7"/>
        <v>0.10216965937067476</v>
      </c>
      <c r="T55" s="136">
        <f>+T47+T54</f>
        <v>250729</v>
      </c>
      <c r="U55" s="133">
        <f t="shared" si="8"/>
        <v>0.083509776041828</v>
      </c>
      <c r="V55" s="134">
        <f t="shared" si="4"/>
        <v>-0.060679738953867364</v>
      </c>
    </row>
    <row r="56" spans="1:22" s="13" customFormat="1" ht="15">
      <c r="A56" s="85" t="s">
        <v>62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9">
        <f t="shared" si="9"/>
        <v>-0.0321446395685154</v>
      </c>
      <c r="O56" s="18">
        <v>-25831</v>
      </c>
      <c r="P56" s="19">
        <f t="shared" si="10"/>
        <v>-0.018069120278462136</v>
      </c>
      <c r="Q56" s="19">
        <f t="shared" si="5"/>
        <v>-0.4136647372602429</v>
      </c>
      <c r="R56" s="137">
        <v>-90747</v>
      </c>
      <c r="S56" s="134">
        <f t="shared" si="7"/>
        <v>-0.034734683316389646</v>
      </c>
      <c r="T56" s="137">
        <v>-80650</v>
      </c>
      <c r="U56" s="134">
        <f t="shared" si="8"/>
        <v>-0.02686192437960279</v>
      </c>
      <c r="V56" s="134">
        <f t="shared" si="4"/>
        <v>-0.1112653861835653</v>
      </c>
    </row>
    <row r="57" spans="1:22" s="13" customFormat="1" ht="15">
      <c r="A57" s="85" t="s">
        <v>38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9">
        <f t="shared" si="9"/>
        <v>-3.648239651403405E-05</v>
      </c>
      <c r="O57" s="18">
        <v>-496</v>
      </c>
      <c r="P57" s="19">
        <f t="shared" si="10"/>
        <v>-0.0003469584475288304</v>
      </c>
      <c r="Q57" s="19">
        <f t="shared" si="5"/>
        <v>8.92</v>
      </c>
      <c r="R57" s="137">
        <v>226</v>
      </c>
      <c r="S57" s="134">
        <f t="shared" si="7"/>
        <v>8.650466053427728E-05</v>
      </c>
      <c r="T57" s="137">
        <v>-1652</v>
      </c>
      <c r="U57" s="134">
        <f t="shared" si="8"/>
        <v>-0.0005502281348431967</v>
      </c>
      <c r="V57" s="134">
        <f t="shared" si="4"/>
        <v>-8.309734513274336</v>
      </c>
    </row>
    <row r="58" spans="1:22" s="30" customFormat="1" ht="15">
      <c r="A58" s="91" t="s">
        <v>63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5" ref="H58:M58">+H55+H56+H57</f>
        <v>253511.3458988165</v>
      </c>
      <c r="I58" s="92">
        <f t="shared" si="15"/>
        <v>345507</v>
      </c>
      <c r="J58" s="92">
        <f t="shared" si="15"/>
        <v>380235</v>
      </c>
      <c r="K58" s="93">
        <f t="shared" si="15"/>
        <v>79286</v>
      </c>
      <c r="L58" s="93">
        <f t="shared" si="15"/>
        <v>85055</v>
      </c>
      <c r="M58" s="93">
        <f t="shared" si="15"/>
        <v>97119</v>
      </c>
      <c r="N58" s="94">
        <f t="shared" si="9"/>
        <v>0.07086267734092945</v>
      </c>
      <c r="O58" s="93">
        <f>+O55+O56+O57</f>
        <v>83372</v>
      </c>
      <c r="P58" s="94">
        <f t="shared" si="10"/>
        <v>0.05831979775680171</v>
      </c>
      <c r="Q58" s="94">
        <f t="shared" si="5"/>
        <v>-0.14154799781711097</v>
      </c>
      <c r="R58" s="138">
        <f>+R55+R56+R57</f>
        <v>176405</v>
      </c>
      <c r="S58" s="139">
        <f t="shared" si="7"/>
        <v>0.06752148071481939</v>
      </c>
      <c r="T58" s="138">
        <f>+T55+T56+T57</f>
        <v>168427</v>
      </c>
      <c r="U58" s="139">
        <f t="shared" si="8"/>
        <v>0.05609762352738201</v>
      </c>
      <c r="V58" s="139">
        <f>+(T58-R58)/R58</f>
        <v>-0.04522547546838242</v>
      </c>
    </row>
    <row r="59" spans="1:22" s="30" customFormat="1" ht="15.75" thickBot="1">
      <c r="A59" s="74" t="s">
        <v>64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34">
        <f t="shared" si="9"/>
        <v>0.14309782243871688</v>
      </c>
      <c r="O59" s="23">
        <v>198720</v>
      </c>
      <c r="P59" s="34">
        <f t="shared" si="10"/>
        <v>0.13900722317122818</v>
      </c>
      <c r="Q59" s="34">
        <f t="shared" si="5"/>
        <v>0.013262356018539765</v>
      </c>
      <c r="R59" s="140">
        <v>375824</v>
      </c>
      <c r="S59" s="141">
        <f t="shared" si="7"/>
        <v>0.14385189177271782</v>
      </c>
      <c r="T59" s="140">
        <v>417685</v>
      </c>
      <c r="U59" s="141">
        <f t="shared" si="8"/>
        <v>0.13911745672032724</v>
      </c>
      <c r="V59" s="141">
        <f>+(T59-R59)/R59</f>
        <v>0.11138458427348971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89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sslmzuluaga</dc:creator>
  <cp:keywords/>
  <dc:description/>
  <cp:lastModifiedBy>sslmzuluaga</cp:lastModifiedBy>
  <dcterms:created xsi:type="dcterms:W3CDTF">2014-03-03T15:10:09Z</dcterms:created>
  <dcterms:modified xsi:type="dcterms:W3CDTF">2014-07-30T19:16:44Z</dcterms:modified>
  <cp:category/>
  <cp:version/>
  <cp:contentType/>
  <cp:contentStatus/>
</cp:coreProperties>
</file>