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90" windowHeight="7380" activeTab="0"/>
  </bookViews>
  <sheets>
    <sheet name="EV-Ebitda" sheetId="1" r:id="rId1"/>
    <sheet name="Dividendo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<sst xmlns="http://schemas.openxmlformats.org/spreadsheetml/2006/main" count="50" uniqueCount="48">
  <si>
    <t>Abr06-Mar07</t>
  </si>
  <si>
    <t>Abr07-Mar08</t>
  </si>
  <si>
    <t>Abr08-Mar09</t>
  </si>
  <si>
    <t>Abr09-Mar10</t>
  </si>
  <si>
    <t>Abr10-Mar11</t>
  </si>
  <si>
    <t>Abr11-Jul11</t>
  </si>
  <si>
    <t>Ago11-Mar12</t>
  </si>
  <si>
    <t>Abri11-Mar12</t>
  </si>
  <si>
    <t>Abri12-Mar13</t>
  </si>
  <si>
    <t>Abr13- Mar14</t>
  </si>
  <si>
    <t>Dividendo por acción-mes</t>
  </si>
  <si>
    <t>% var.</t>
  </si>
  <si>
    <t>%. var. IPC</t>
  </si>
  <si>
    <t>Incremento real</t>
  </si>
  <si>
    <t>Acciones en circulación (mm)</t>
  </si>
  <si>
    <t>Dividendo abril-marzo *</t>
  </si>
  <si>
    <t>Precio de la acción**</t>
  </si>
  <si>
    <t>Yield</t>
  </si>
  <si>
    <t>Utilidad neta consolidada año anterior *</t>
  </si>
  <si>
    <t xml:space="preserve">Var. Util. neta consolidada </t>
  </si>
  <si>
    <t>% reparto</t>
  </si>
  <si>
    <t>Utilidad neta individual año anterior *</t>
  </si>
  <si>
    <t xml:space="preserve">Var. Util. neta individual </t>
  </si>
  <si>
    <t>COP</t>
  </si>
  <si>
    <t># acciones circulación</t>
  </si>
  <si>
    <t>Precio por acción</t>
  </si>
  <si>
    <t>Market Cap.</t>
  </si>
  <si>
    <t>Inversiones de portafolio</t>
  </si>
  <si>
    <t>Sura</t>
  </si>
  <si>
    <t>Argos</t>
  </si>
  <si>
    <t>Portafolio / Market cap.</t>
  </si>
  <si>
    <t>Market Cap. Alimentos</t>
  </si>
  <si>
    <t>Caja</t>
  </si>
  <si>
    <t>Deuda financiera</t>
  </si>
  <si>
    <t>Enterprise Value (Alimentos)</t>
  </si>
  <si>
    <t>Enterprise Value (Total)</t>
  </si>
  <si>
    <t>EBITDA</t>
  </si>
  <si>
    <t>EV/EBITDA Alimentos</t>
  </si>
  <si>
    <t>Dividendos (Non Food)</t>
  </si>
  <si>
    <t>Util. Operacional</t>
  </si>
  <si>
    <t>Tasa efectiva de impuestos</t>
  </si>
  <si>
    <t>RPG Alimentos</t>
  </si>
  <si>
    <t>ROIC</t>
  </si>
  <si>
    <t>ROIC:</t>
  </si>
  <si>
    <t>UPA Alimentos</t>
  </si>
  <si>
    <t>UPA Total</t>
  </si>
  <si>
    <t>UPA Portafolio</t>
  </si>
  <si>
    <t>Capital Invertido Alimentos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</si>
</sst>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_ ;[Red]\-#,##0.0\ "/>
    <numFmt numFmtId="165" formatCode="0.0%"/>
    <numFmt numFmtId="166" formatCode="_(* #,##0_);_(* \(#,##0\);_(* &quot;-&quot;??_);_(@_)"/>
    <numFmt numFmtId="167" formatCode="#,##0.000000"/>
    <numFmt numFmtId="168" formatCode="_ * #,##0_ ;_ * \-#,##0_ ;_ * &quot;-&quot;??_ ;_ @_ "/>
    <numFmt numFmtId="169" formatCode="_ [$€-2]\ * #,##0_ ;_ [$€-2]\ * \-#,##0_ ;_ [$€-2]\ * &quot;-&quot;??_ "/>
    <numFmt numFmtId="170" formatCode="_(* #,##0.0_);_(* \(#,##0.0\);_(* &quot;-&quot;??_);_(@_)"/>
    <numFmt numFmtId="171" formatCode="#,##0.00000"/>
    <numFmt numFmtId="172" formatCode="#,##0.0000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_(* #,##0.0_);_(* \(#,##0.0\);_(* &quot;-&quot;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0" fontId="2" fillId="0" borderId="10" xfId="54" applyFont="1" applyBorder="1">
      <alignment/>
      <protection/>
    </xf>
    <xf numFmtId="164" fontId="2" fillId="0" borderId="10" xfId="54" applyNumberFormat="1" applyFont="1" applyBorder="1">
      <alignment/>
      <protection/>
    </xf>
    <xf numFmtId="164" fontId="2" fillId="0" borderId="11" xfId="54" applyNumberFormat="1" applyFont="1" applyBorder="1" applyAlignment="1">
      <alignment/>
      <protection/>
    </xf>
    <xf numFmtId="10" fontId="2" fillId="0" borderId="10" xfId="54" applyNumberFormat="1" applyFont="1" applyBorder="1">
      <alignment/>
      <protection/>
    </xf>
    <xf numFmtId="165" fontId="2" fillId="0" borderId="10" xfId="54" applyNumberFormat="1" applyFont="1" applyBorder="1">
      <alignment/>
      <protection/>
    </xf>
    <xf numFmtId="165" fontId="2" fillId="0" borderId="10" xfId="57" applyNumberFormat="1" applyFont="1" applyBorder="1" applyAlignment="1">
      <alignment/>
    </xf>
    <xf numFmtId="165" fontId="2" fillId="0" borderId="11" xfId="57" applyNumberFormat="1" applyFont="1" applyBorder="1" applyAlignment="1">
      <alignment/>
    </xf>
    <xf numFmtId="10" fontId="2" fillId="0" borderId="0" xfId="54" applyNumberFormat="1" applyFont="1" applyBorder="1">
      <alignment/>
      <protection/>
    </xf>
    <xf numFmtId="10" fontId="2" fillId="0" borderId="0" xfId="57" applyNumberFormat="1" applyFont="1" applyBorder="1" applyAlignment="1">
      <alignment/>
    </xf>
    <xf numFmtId="3" fontId="2" fillId="0" borderId="10" xfId="54" applyNumberFormat="1" applyFont="1" applyBorder="1" applyAlignment="1">
      <alignment vertical="center"/>
      <protection/>
    </xf>
    <xf numFmtId="166" fontId="2" fillId="0" borderId="10" xfId="48" applyNumberFormat="1" applyFont="1" applyBorder="1" applyAlignment="1">
      <alignment vertical="center"/>
    </xf>
    <xf numFmtId="168" fontId="2" fillId="0" borderId="10" xfId="48" applyNumberFormat="1" applyFont="1" applyBorder="1" applyAlignment="1">
      <alignment/>
    </xf>
    <xf numFmtId="3" fontId="2" fillId="0" borderId="11" xfId="48" applyNumberFormat="1" applyFont="1" applyBorder="1" applyAlignment="1">
      <alignment/>
    </xf>
    <xf numFmtId="0" fontId="2" fillId="0" borderId="10" xfId="54" applyFont="1" applyFill="1" applyBorder="1">
      <alignment/>
      <protection/>
    </xf>
    <xf numFmtId="10" fontId="2" fillId="0" borderId="10" xfId="57" applyNumberFormat="1" applyFont="1" applyFill="1" applyBorder="1" applyAlignment="1">
      <alignment/>
    </xf>
    <xf numFmtId="10" fontId="2" fillId="0" borderId="11" xfId="57" applyNumberFormat="1" applyFont="1" applyFill="1" applyBorder="1" applyAlignment="1">
      <alignment/>
    </xf>
    <xf numFmtId="168" fontId="2" fillId="0" borderId="10" xfId="48" applyNumberFormat="1" applyFont="1" applyFill="1" applyBorder="1" applyAlignment="1">
      <alignment/>
    </xf>
    <xf numFmtId="10" fontId="2" fillId="0" borderId="10" xfId="57" applyNumberFormat="1" applyFont="1" applyBorder="1" applyAlignment="1">
      <alignment/>
    </xf>
    <xf numFmtId="165" fontId="2" fillId="0" borderId="12" xfId="57" applyNumberFormat="1" applyFont="1" applyBorder="1" applyAlignment="1">
      <alignment/>
    </xf>
    <xf numFmtId="169" fontId="34" fillId="0" borderId="0" xfId="53" applyNumberFormat="1" applyFont="1">
      <alignment/>
      <protection/>
    </xf>
    <xf numFmtId="169" fontId="0" fillId="0" borderId="0" xfId="53" applyNumberFormat="1">
      <alignment/>
      <protection/>
    </xf>
    <xf numFmtId="166" fontId="0" fillId="0" borderId="0" xfId="49" applyNumberFormat="1" applyFont="1" applyAlignment="1">
      <alignment/>
    </xf>
    <xf numFmtId="166" fontId="0" fillId="0" borderId="0" xfId="49" applyNumberFormat="1" applyFont="1" applyFill="1" applyAlignment="1">
      <alignment/>
    </xf>
    <xf numFmtId="169" fontId="0" fillId="0" borderId="0" xfId="53" applyNumberFormat="1" applyFont="1" applyAlignment="1">
      <alignment horizontal="left" indent="1"/>
      <protection/>
    </xf>
    <xf numFmtId="169" fontId="0" fillId="0" borderId="0" xfId="53" applyNumberFormat="1" applyFont="1">
      <alignment/>
      <protection/>
    </xf>
    <xf numFmtId="165" fontId="0" fillId="0" borderId="0" xfId="56" applyNumberFormat="1" applyFont="1" applyAlignment="1">
      <alignment/>
    </xf>
    <xf numFmtId="165" fontId="0" fillId="0" borderId="0" xfId="56" applyNumberFormat="1" applyFont="1" applyFill="1" applyAlignment="1">
      <alignment/>
    </xf>
    <xf numFmtId="170" fontId="34" fillId="0" borderId="0" xfId="49" applyNumberFormat="1" applyFont="1" applyAlignment="1">
      <alignment/>
    </xf>
    <xf numFmtId="170" fontId="34" fillId="0" borderId="0" xfId="49" applyNumberFormat="1" applyFont="1" applyFill="1" applyAlignment="1">
      <alignment/>
    </xf>
    <xf numFmtId="169" fontId="22" fillId="33" borderId="0" xfId="53" applyNumberFormat="1" applyFont="1" applyFill="1">
      <alignment/>
      <protection/>
    </xf>
    <xf numFmtId="0" fontId="22" fillId="33" borderId="0" xfId="53" applyNumberFormat="1" applyFont="1" applyFill="1" applyAlignment="1">
      <alignment horizontal="center"/>
      <protection/>
    </xf>
    <xf numFmtId="1" fontId="0" fillId="0" borderId="0" xfId="0" applyNumberFormat="1" applyAlignment="1">
      <alignment/>
    </xf>
    <xf numFmtId="166" fontId="0" fillId="0" borderId="0" xfId="46" applyNumberFormat="1" applyFont="1" applyAlignment="1">
      <alignment/>
    </xf>
    <xf numFmtId="165" fontId="0" fillId="0" borderId="0" xfId="56" applyNumberFormat="1" applyFont="1" applyAlignment="1">
      <alignment/>
    </xf>
    <xf numFmtId="166" fontId="0" fillId="0" borderId="0" xfId="46" applyNumberFormat="1" applyFont="1" applyAlignment="1">
      <alignment/>
    </xf>
    <xf numFmtId="165" fontId="0" fillId="0" borderId="0" xfId="56" applyNumberFormat="1" applyFont="1" applyAlignment="1">
      <alignment/>
    </xf>
    <xf numFmtId="169" fontId="0" fillId="0" borderId="0" xfId="53" applyNumberFormat="1" applyFont="1" applyFill="1">
      <alignment/>
      <protection/>
    </xf>
    <xf numFmtId="169" fontId="34" fillId="0" borderId="0" xfId="53" applyNumberFormat="1" applyFont="1" applyFill="1">
      <alignment/>
      <protection/>
    </xf>
    <xf numFmtId="179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8 2" xfId="48"/>
    <cellStyle name="Millares 3" xfId="49"/>
    <cellStyle name="Currency" xfId="50"/>
    <cellStyle name="Currency [0]" xfId="51"/>
    <cellStyle name="Neutral" xfId="52"/>
    <cellStyle name="Normal 11" xfId="53"/>
    <cellStyle name="Normal 11 2" xfId="54"/>
    <cellStyle name="Notas" xfId="55"/>
    <cellStyle name="Percent" xfId="56"/>
    <cellStyle name="Porcentual 1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">
      <selection activeCell="B28" sqref="B28"/>
    </sheetView>
  </sheetViews>
  <sheetFormatPr defaultColWidth="11.421875" defaultRowHeight="15"/>
  <cols>
    <col min="1" max="1" width="27.140625" style="0" bestFit="1" customWidth="1"/>
    <col min="2" max="2" width="13.28125" style="0" bestFit="1" customWidth="1"/>
    <col min="3" max="9" width="13.140625" style="0" bestFit="1" customWidth="1"/>
  </cols>
  <sheetData>
    <row r="1" spans="1:9" ht="15">
      <c r="A1" s="31" t="s">
        <v>23</v>
      </c>
      <c r="B1" s="32">
        <v>2005</v>
      </c>
      <c r="C1" s="32">
        <f>B1+1</f>
        <v>2006</v>
      </c>
      <c r="D1" s="32">
        <f>C1+1</f>
        <v>2007</v>
      </c>
      <c r="E1" s="32">
        <f>D1+1</f>
        <v>2008</v>
      </c>
      <c r="F1" s="32">
        <f>E1+1</f>
        <v>2009</v>
      </c>
      <c r="G1" s="32">
        <v>2010</v>
      </c>
      <c r="H1" s="32">
        <v>2011</v>
      </c>
      <c r="I1" s="32">
        <v>2012</v>
      </c>
    </row>
    <row r="2" spans="1:9" ht="15">
      <c r="A2" s="22" t="s">
        <v>24</v>
      </c>
      <c r="B2" s="23">
        <v>435123458</v>
      </c>
      <c r="C2" s="23">
        <v>435123458</v>
      </c>
      <c r="D2" s="23">
        <v>435123458</v>
      </c>
      <c r="E2" s="23">
        <v>435123458</v>
      </c>
      <c r="F2" s="23">
        <v>435123458</v>
      </c>
      <c r="G2" s="23">
        <v>435123458</v>
      </c>
      <c r="H2" s="24">
        <v>460123458</v>
      </c>
      <c r="I2" s="24">
        <v>460123458</v>
      </c>
    </row>
    <row r="3" spans="1:9" ht="15">
      <c r="A3" s="22" t="s">
        <v>25</v>
      </c>
      <c r="B3" s="23">
        <v>12920</v>
      </c>
      <c r="C3" s="23">
        <v>16580</v>
      </c>
      <c r="D3" s="23">
        <v>16500</v>
      </c>
      <c r="E3" s="23">
        <v>15600</v>
      </c>
      <c r="F3" s="23">
        <v>21000</v>
      </c>
      <c r="G3" s="23">
        <v>27100</v>
      </c>
      <c r="H3" s="24">
        <v>21800</v>
      </c>
      <c r="I3" s="24">
        <v>25420</v>
      </c>
    </row>
    <row r="4" spans="1:9" ht="15">
      <c r="A4" s="22" t="s">
        <v>26</v>
      </c>
      <c r="B4" s="23">
        <f aca="true" t="shared" si="0" ref="B4:H4">B2*B3/1000000</f>
        <v>5621795.07736</v>
      </c>
      <c r="C4" s="23">
        <f t="shared" si="0"/>
        <v>7214346.93364</v>
      </c>
      <c r="D4" s="23">
        <f t="shared" si="0"/>
        <v>7179537.057</v>
      </c>
      <c r="E4" s="23">
        <f t="shared" si="0"/>
        <v>6787925.9448</v>
      </c>
      <c r="F4" s="23">
        <f t="shared" si="0"/>
        <v>9137592.618</v>
      </c>
      <c r="G4" s="23">
        <f t="shared" si="0"/>
        <v>11791845.7118</v>
      </c>
      <c r="H4" s="24">
        <f t="shared" si="0"/>
        <v>10030691.3844</v>
      </c>
      <c r="I4" s="24">
        <f>I2*I3/1000000</f>
        <v>11696338.30236</v>
      </c>
    </row>
    <row r="5" spans="1:9" ht="15">
      <c r="A5" s="22" t="s">
        <v>27</v>
      </c>
      <c r="B5" s="23">
        <f>328742+1946693</f>
        <v>2275435</v>
      </c>
      <c r="C5" s="23">
        <f>323226+2015480</f>
        <v>2338706</v>
      </c>
      <c r="D5" s="23">
        <f>322254+2022613</f>
        <v>2344867</v>
      </c>
      <c r="E5" s="23">
        <f>299414+1420006</f>
        <v>1719420</v>
      </c>
      <c r="F5" s="23">
        <f>335272+2708489</f>
        <v>3043761</v>
      </c>
      <c r="G5" s="24">
        <v>3813966.95364</v>
      </c>
      <c r="H5" s="24">
        <v>3189274.51626</v>
      </c>
      <c r="I5" s="24">
        <v>3932633.702</v>
      </c>
    </row>
    <row r="6" spans="1:9" ht="15" hidden="1">
      <c r="A6" s="25" t="s">
        <v>28</v>
      </c>
      <c r="B6" s="23"/>
      <c r="C6" s="23"/>
      <c r="D6" s="23"/>
      <c r="E6" s="23"/>
      <c r="F6" s="23"/>
      <c r="G6" s="24"/>
      <c r="H6" s="24"/>
      <c r="I6" s="24">
        <v>2256736.514</v>
      </c>
    </row>
    <row r="7" spans="1:9" ht="15" hidden="1">
      <c r="A7" s="25" t="s">
        <v>29</v>
      </c>
      <c r="B7" s="23"/>
      <c r="C7" s="23"/>
      <c r="D7" s="23"/>
      <c r="E7" s="23"/>
      <c r="F7" s="23"/>
      <c r="G7" s="24"/>
      <c r="H7" s="24"/>
      <c r="I7" s="24">
        <v>1675897.188</v>
      </c>
    </row>
    <row r="8" spans="1:9" ht="15">
      <c r="A8" s="26" t="s">
        <v>30</v>
      </c>
      <c r="B8" s="27">
        <f aca="true" t="shared" si="1" ref="B8:I8">B5/B4</f>
        <v>0.40475239112923095</v>
      </c>
      <c r="C8" s="27">
        <f t="shared" si="1"/>
        <v>0.3241743184119377</v>
      </c>
      <c r="D8" s="27">
        <f t="shared" si="1"/>
        <v>0.32660420600709494</v>
      </c>
      <c r="E8" s="27">
        <f t="shared" si="1"/>
        <v>0.25330565094293483</v>
      </c>
      <c r="F8" s="27">
        <f t="shared" si="1"/>
        <v>0.33310316264309514</v>
      </c>
      <c r="G8" s="27">
        <f>G5/G4</f>
        <v>0.3234410495910234</v>
      </c>
      <c r="H8" s="28">
        <f t="shared" si="1"/>
        <v>0.31795161410509</v>
      </c>
      <c r="I8" s="28">
        <f t="shared" si="1"/>
        <v>0.33622776636056284</v>
      </c>
    </row>
    <row r="9" spans="1:9" ht="15">
      <c r="A9" s="22" t="s">
        <v>31</v>
      </c>
      <c r="B9" s="23">
        <f aca="true" t="shared" si="2" ref="B9:H9">B4-B5</f>
        <v>3346360.0773600005</v>
      </c>
      <c r="C9" s="23">
        <f t="shared" si="2"/>
        <v>4875640.93364</v>
      </c>
      <c r="D9" s="23">
        <f t="shared" si="2"/>
        <v>4834670.057</v>
      </c>
      <c r="E9" s="23">
        <f t="shared" si="2"/>
        <v>5068505.9448</v>
      </c>
      <c r="F9" s="23">
        <f t="shared" si="2"/>
        <v>6093831.618000001</v>
      </c>
      <c r="G9" s="23">
        <f t="shared" si="2"/>
        <v>7977878.75816</v>
      </c>
      <c r="H9" s="24">
        <f t="shared" si="2"/>
        <v>6841416.868140001</v>
      </c>
      <c r="I9" s="24">
        <f>I4-I5</f>
        <v>7763704.6003600005</v>
      </c>
    </row>
    <row r="10" spans="1:9" ht="15">
      <c r="A10" s="22" t="s">
        <v>32</v>
      </c>
      <c r="B10" s="23">
        <v>121469</v>
      </c>
      <c r="C10" s="23">
        <v>147021</v>
      </c>
      <c r="D10" s="23">
        <f>134295+6771</f>
        <v>141066</v>
      </c>
      <c r="E10" s="23">
        <v>200123</v>
      </c>
      <c r="F10" s="23">
        <v>152572</v>
      </c>
      <c r="G10" s="24">
        <v>133389</v>
      </c>
      <c r="H10" s="24">
        <v>193087</v>
      </c>
      <c r="I10" s="24">
        <v>291812.4471142299</v>
      </c>
    </row>
    <row r="11" spans="1:9" ht="15">
      <c r="A11" s="22" t="s">
        <v>33</v>
      </c>
      <c r="B11" s="23">
        <f>37500+3540</f>
        <v>41040</v>
      </c>
      <c r="C11" s="23">
        <f>187361+518516</f>
        <v>705877</v>
      </c>
      <c r="D11" s="23">
        <f>248058+470445</f>
        <v>718503</v>
      </c>
      <c r="E11" s="23">
        <f>349791+535026</f>
        <v>884817</v>
      </c>
      <c r="F11" s="23">
        <f>210544+804613</f>
        <v>1015157</v>
      </c>
      <c r="G11" s="24">
        <v>1126326</v>
      </c>
      <c r="H11" s="24">
        <v>668204</v>
      </c>
      <c r="I11" s="24">
        <v>689674.8912584265</v>
      </c>
    </row>
    <row r="12" spans="1:9" ht="15">
      <c r="A12" s="26" t="s">
        <v>34</v>
      </c>
      <c r="B12" s="23">
        <f aca="true" t="shared" si="3" ref="B12:G12">B9-B10+B11</f>
        <v>3265931.0773600005</v>
      </c>
      <c r="C12" s="23">
        <f t="shared" si="3"/>
        <v>5434496.93364</v>
      </c>
      <c r="D12" s="23">
        <f>D9-D10+D11</f>
        <v>5412107.057</v>
      </c>
      <c r="E12" s="23">
        <f t="shared" si="3"/>
        <v>5753199.9448</v>
      </c>
      <c r="F12" s="23">
        <f t="shared" si="3"/>
        <v>6956416.618000001</v>
      </c>
      <c r="G12" s="23">
        <f t="shared" si="3"/>
        <v>8970815.758159999</v>
      </c>
      <c r="H12" s="24">
        <f>H9-H10+H11</f>
        <v>7316533.868140001</v>
      </c>
      <c r="I12" s="24">
        <f>I9-I10+I11</f>
        <v>8161567.044504197</v>
      </c>
    </row>
    <row r="13" spans="1:9" ht="15">
      <c r="A13" s="26" t="s">
        <v>35</v>
      </c>
      <c r="B13" s="23">
        <f aca="true" t="shared" si="4" ref="B13:I13">+B4+B11-B10</f>
        <v>5541366.07736</v>
      </c>
      <c r="C13" s="23">
        <f t="shared" si="4"/>
        <v>7773202.93364</v>
      </c>
      <c r="D13" s="23">
        <f t="shared" si="4"/>
        <v>7756974.057</v>
      </c>
      <c r="E13" s="23">
        <f t="shared" si="4"/>
        <v>7472619.9448</v>
      </c>
      <c r="F13" s="23">
        <f t="shared" si="4"/>
        <v>10000177.618</v>
      </c>
      <c r="G13" s="23">
        <f t="shared" si="4"/>
        <v>12784782.7118</v>
      </c>
      <c r="H13" s="23">
        <f t="shared" si="4"/>
        <v>10505808.3844</v>
      </c>
      <c r="I13" s="23">
        <f t="shared" si="4"/>
        <v>12094200.746504197</v>
      </c>
    </row>
    <row r="14" spans="1:9" ht="15">
      <c r="A14" s="22" t="s">
        <v>36</v>
      </c>
      <c r="B14" s="24">
        <v>326457</v>
      </c>
      <c r="C14" s="24">
        <v>382594</v>
      </c>
      <c r="D14" s="24">
        <v>528754</v>
      </c>
      <c r="E14" s="23">
        <v>569823</v>
      </c>
      <c r="F14" s="23">
        <v>551034</v>
      </c>
      <c r="G14" s="24">
        <v>538165.3181554601</v>
      </c>
      <c r="H14" s="24">
        <v>568131.170418807</v>
      </c>
      <c r="I14" s="24">
        <v>671095.6194262799</v>
      </c>
    </row>
    <row r="15" spans="1:9" ht="15">
      <c r="A15" s="21" t="s">
        <v>37</v>
      </c>
      <c r="B15" s="29">
        <f aca="true" t="shared" si="5" ref="B15:H15">B12/B14</f>
        <v>10.004169239317891</v>
      </c>
      <c r="C15" s="29">
        <f t="shared" si="5"/>
        <v>14.204344379786406</v>
      </c>
      <c r="D15" s="29">
        <f t="shared" si="5"/>
        <v>10.23558603244609</v>
      </c>
      <c r="E15" s="29">
        <f t="shared" si="5"/>
        <v>10.096468455643244</v>
      </c>
      <c r="F15" s="29">
        <f t="shared" si="5"/>
        <v>12.624296537055791</v>
      </c>
      <c r="G15" s="29">
        <f t="shared" si="5"/>
        <v>16.66925655653008</v>
      </c>
      <c r="H15" s="30">
        <f t="shared" si="5"/>
        <v>12.878247575725341</v>
      </c>
      <c r="I15" s="30">
        <f>I12/I14</f>
        <v>12.161556130379045</v>
      </c>
    </row>
    <row r="16" spans="1:9" ht="15">
      <c r="A16" s="38" t="s">
        <v>45</v>
      </c>
      <c r="C16" s="33">
        <f>+Dividendo!C14/Dividendo!C7</f>
        <v>405.712440352963</v>
      </c>
      <c r="D16" s="33">
        <f>+Dividendo!D14/Dividendo!D7</f>
        <v>568.3743210185647</v>
      </c>
      <c r="E16" s="33">
        <f>+Dividendo!E14/Dividendo!E7</f>
        <v>687.2785056787262</v>
      </c>
      <c r="F16" s="33">
        <f>+Dividendo!F14/Dividendo!F7</f>
        <v>490.14594841724204</v>
      </c>
      <c r="G16" s="33">
        <f>+Dividendo!I14/Dividendo!I7</f>
        <v>572.1051500921302</v>
      </c>
      <c r="H16" s="33">
        <f>+Dividendo!J14/Dividendo!J7</f>
        <v>550.9629982829521</v>
      </c>
      <c r="I16" s="33">
        <f>+Dividendo!K14/Dividendo!K7</f>
        <v>750.9006419750935</v>
      </c>
    </row>
    <row r="17" spans="1:9" ht="15">
      <c r="A17" s="38" t="s">
        <v>46</v>
      </c>
      <c r="C17" s="33">
        <f aca="true" t="shared" si="6" ref="C17:I17">+C24*1000000/C2</f>
        <v>67.44752428401597</v>
      </c>
      <c r="D17" s="33">
        <f t="shared" si="6"/>
        <v>59.20848330820169</v>
      </c>
      <c r="E17" s="33">
        <f t="shared" si="6"/>
        <v>64.13582050545295</v>
      </c>
      <c r="F17" s="33">
        <f t="shared" si="6"/>
        <v>66.59259450911975</v>
      </c>
      <c r="G17" s="33">
        <f t="shared" si="6"/>
        <v>71.23495511473895</v>
      </c>
      <c r="H17" s="33">
        <f t="shared" si="6"/>
        <v>72.87391985131086</v>
      </c>
      <c r="I17" s="33">
        <f t="shared" si="6"/>
        <v>77.57483210082282</v>
      </c>
    </row>
    <row r="18" spans="1:9" ht="15">
      <c r="A18" s="38" t="s">
        <v>44</v>
      </c>
      <c r="C18" s="33">
        <f>+C16-C17</f>
        <v>338.264916068947</v>
      </c>
      <c r="D18" s="33">
        <f aca="true" t="shared" si="7" ref="D18:I18">+D16-D17</f>
        <v>509.165837710363</v>
      </c>
      <c r="E18" s="33">
        <f t="shared" si="7"/>
        <v>623.1426851732733</v>
      </c>
      <c r="F18" s="33">
        <f t="shared" si="7"/>
        <v>423.5533539081223</v>
      </c>
      <c r="G18" s="33">
        <f t="shared" si="7"/>
        <v>500.87019497739124</v>
      </c>
      <c r="H18" s="33">
        <f t="shared" si="7"/>
        <v>478.0890784316412</v>
      </c>
      <c r="I18" s="33">
        <f>+I16-I17</f>
        <v>673.3258098742707</v>
      </c>
    </row>
    <row r="19" spans="1:9" ht="15">
      <c r="A19" s="38" t="s">
        <v>41</v>
      </c>
      <c r="C19" s="40">
        <f>+C3*(1-C8)/C18</f>
        <v>33.125486175001875</v>
      </c>
      <c r="D19" s="40">
        <f aca="true" t="shared" si="8" ref="D19:I19">+D3*(1-D8)/D18</f>
        <v>21.822026887835708</v>
      </c>
      <c r="E19" s="40">
        <f t="shared" si="8"/>
        <v>18.69304113238722</v>
      </c>
      <c r="F19" s="40">
        <f t="shared" si="8"/>
        <v>33.06509901355414</v>
      </c>
      <c r="G19" s="40">
        <f t="shared" si="8"/>
        <v>36.60578676858758</v>
      </c>
      <c r="H19" s="40">
        <f t="shared" si="8"/>
        <v>31.100176689426316</v>
      </c>
      <c r="I19" s="40">
        <f t="shared" si="8"/>
        <v>25.059324819681553</v>
      </c>
    </row>
    <row r="20" spans="2:9" ht="15">
      <c r="B20" s="36"/>
      <c r="C20" s="36"/>
      <c r="D20" s="36"/>
      <c r="E20" s="36"/>
      <c r="F20" s="36"/>
      <c r="G20" s="36"/>
      <c r="H20" s="36"/>
      <c r="I20" s="36"/>
    </row>
    <row r="21" ht="15">
      <c r="A21" s="39" t="s">
        <v>43</v>
      </c>
    </row>
    <row r="22" spans="1:9" ht="15">
      <c r="A22" t="s">
        <v>47</v>
      </c>
      <c r="C22" s="36">
        <v>1564692</v>
      </c>
      <c r="D22" s="36">
        <v>1662112</v>
      </c>
      <c r="E22" s="36">
        <v>1942348</v>
      </c>
      <c r="F22" s="36">
        <v>2301091</v>
      </c>
      <c r="G22" s="36">
        <v>2427162</v>
      </c>
      <c r="H22" s="34">
        <v>2537437</v>
      </c>
      <c r="I22" s="34">
        <v>2624136</v>
      </c>
    </row>
    <row r="23" spans="1:9" ht="15">
      <c r="A23" t="s">
        <v>39</v>
      </c>
      <c r="C23" s="36">
        <v>300074</v>
      </c>
      <c r="D23" s="36">
        <v>432885</v>
      </c>
      <c r="E23" s="36">
        <v>465886</v>
      </c>
      <c r="F23" s="36">
        <v>448724</v>
      </c>
      <c r="G23" s="36">
        <v>432744</v>
      </c>
      <c r="H23" s="34">
        <v>432495</v>
      </c>
      <c r="I23" s="34">
        <v>521112</v>
      </c>
    </row>
    <row r="24" spans="1:9" ht="15">
      <c r="A24" t="s">
        <v>38</v>
      </c>
      <c r="C24" s="36">
        <v>29348</v>
      </c>
      <c r="D24" s="36">
        <v>25763</v>
      </c>
      <c r="E24" s="36">
        <v>27907</v>
      </c>
      <c r="F24" s="36">
        <v>28976</v>
      </c>
      <c r="G24" s="36">
        <v>30996</v>
      </c>
      <c r="H24" s="34">
        <v>33531</v>
      </c>
      <c r="I24" s="34">
        <v>35694</v>
      </c>
    </row>
    <row r="25" spans="1:9" ht="15">
      <c r="A25" t="s">
        <v>40</v>
      </c>
      <c r="C25" s="37">
        <v>0.284668752330162</v>
      </c>
      <c r="D25" s="37">
        <v>0.287707536040054</v>
      </c>
      <c r="E25" s="37">
        <v>0.196563234467044</v>
      </c>
      <c r="F25" s="37">
        <v>0.275586361171367</v>
      </c>
      <c r="G25" s="37">
        <v>0.225789896596421</v>
      </c>
      <c r="H25" s="35">
        <v>0.21146371634354155</v>
      </c>
      <c r="I25" s="35">
        <v>0.1880747324951258</v>
      </c>
    </row>
    <row r="26" spans="1:9" ht="15">
      <c r="A26" t="s">
        <v>42</v>
      </c>
      <c r="C26" s="37">
        <f aca="true" t="shared" si="9" ref="C26:I26">+C23*(1-C25)/AVERAGE(B22:C22)</f>
        <v>0.13718502351471024</v>
      </c>
      <c r="D26" s="37">
        <f t="shared" si="9"/>
        <v>0.19111214890108055</v>
      </c>
      <c r="E26" s="37">
        <f t="shared" si="9"/>
        <v>0.2076926590652063</v>
      </c>
      <c r="F26" s="37">
        <f t="shared" si="9"/>
        <v>0.15320676727990648</v>
      </c>
      <c r="G26" s="37">
        <f t="shared" si="9"/>
        <v>0.1417160955588791</v>
      </c>
      <c r="H26" s="37">
        <f t="shared" si="9"/>
        <v>0.13738793405066552</v>
      </c>
      <c r="I26" s="37">
        <f t="shared" si="9"/>
        <v>0.16394382100185353</v>
      </c>
    </row>
    <row r="28" spans="3:9" ht="15">
      <c r="C28" s="41"/>
      <c r="D28" s="41"/>
      <c r="E28" s="41"/>
      <c r="F28" s="41"/>
      <c r="G28" s="41"/>
      <c r="H28" s="41"/>
      <c r="I28" s="41"/>
    </row>
    <row r="29" spans="3:9" ht="15">
      <c r="C29" s="37"/>
      <c r="D29" s="37"/>
      <c r="E29" s="37"/>
      <c r="F29" s="37"/>
      <c r="G29" s="37"/>
      <c r="H29" s="37"/>
      <c r="I29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33.8515625" style="0" bestFit="1" customWidth="1"/>
    <col min="7" max="8" width="11.421875" style="0" hidden="1" customWidth="1"/>
    <col min="11" max="11" width="12.7109375" style="0" bestFit="1" customWidth="1"/>
  </cols>
  <sheetData>
    <row r="1" spans="1:11" ht="15">
      <c r="A1" s="31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</row>
    <row r="2" spans="1:11" ht="15">
      <c r="A2" s="2" t="s">
        <v>10</v>
      </c>
      <c r="B2" s="3">
        <v>18</v>
      </c>
      <c r="C2" s="3">
        <v>19.5</v>
      </c>
      <c r="D2" s="3">
        <v>23</v>
      </c>
      <c r="E2" s="3">
        <v>26</v>
      </c>
      <c r="F2" s="3">
        <v>27</v>
      </c>
      <c r="G2" s="4"/>
      <c r="H2" s="4"/>
      <c r="I2" s="3">
        <v>28.5</v>
      </c>
      <c r="J2" s="3">
        <v>30</v>
      </c>
      <c r="K2" s="3">
        <v>33</v>
      </c>
    </row>
    <row r="3" spans="1:11" ht="15">
      <c r="A3" s="2" t="s">
        <v>11</v>
      </c>
      <c r="B3" s="5"/>
      <c r="C3" s="6">
        <f>C2/B2-1</f>
        <v>0.08333333333333326</v>
      </c>
      <c r="D3" s="7">
        <f>D2/C2-1</f>
        <v>0.17948717948717952</v>
      </c>
      <c r="E3" s="7">
        <f>E2/D2-1</f>
        <v>0.13043478260869557</v>
      </c>
      <c r="F3" s="7">
        <f>F2/E2-1</f>
        <v>0.03846153846153855</v>
      </c>
      <c r="G3" s="8"/>
      <c r="H3" s="8"/>
      <c r="I3" s="7">
        <f>I2/F2-1</f>
        <v>0.05555555555555558</v>
      </c>
      <c r="J3" s="7">
        <f>J2/I2-1</f>
        <v>0.05263157894736836</v>
      </c>
      <c r="K3" s="7">
        <f>K2/J2-1</f>
        <v>0.10000000000000009</v>
      </c>
    </row>
    <row r="4" spans="1:11" ht="15">
      <c r="A4" s="2" t="s">
        <v>12</v>
      </c>
      <c r="B4" s="5"/>
      <c r="C4" s="6">
        <v>0.045</v>
      </c>
      <c r="D4" s="7">
        <v>0.057</v>
      </c>
      <c r="E4" s="7">
        <v>0.077</v>
      </c>
      <c r="F4" s="7">
        <v>0.02</v>
      </c>
      <c r="G4" s="8"/>
      <c r="H4" s="8"/>
      <c r="I4" s="7">
        <v>0.0317</v>
      </c>
      <c r="J4" s="7">
        <v>0.0373</v>
      </c>
      <c r="K4" s="7">
        <v>0.0244</v>
      </c>
    </row>
    <row r="5" spans="1:11" ht="15">
      <c r="A5" s="2" t="s">
        <v>13</v>
      </c>
      <c r="B5" s="5"/>
      <c r="C5" s="6">
        <f>C3-C4</f>
        <v>0.03833333333333326</v>
      </c>
      <c r="D5" s="7">
        <f>D3-D4</f>
        <v>0.12248717948717952</v>
      </c>
      <c r="E5" s="7">
        <f>E3-E4</f>
        <v>0.053434782608695566</v>
      </c>
      <c r="F5" s="7">
        <f>F3-F4</f>
        <v>0.018461538461538547</v>
      </c>
      <c r="G5" s="8"/>
      <c r="H5" s="8"/>
      <c r="I5" s="7">
        <f>I3-I4</f>
        <v>0.02385555555555558</v>
      </c>
      <c r="J5" s="7">
        <f>J3-J4</f>
        <v>0.015331578947368363</v>
      </c>
      <c r="K5" s="7">
        <f>K3-K4</f>
        <v>0.07560000000000008</v>
      </c>
    </row>
    <row r="6" spans="1:11" ht="15">
      <c r="A6" s="1"/>
      <c r="B6" s="9"/>
      <c r="C6" s="9"/>
      <c r="D6" s="10"/>
      <c r="E6" s="10"/>
      <c r="F6" s="10"/>
      <c r="G6" s="10"/>
      <c r="H6" s="10"/>
      <c r="I6" s="10"/>
      <c r="J6" s="10"/>
      <c r="K6" s="10"/>
    </row>
    <row r="7" spans="1:11" ht="15">
      <c r="A7" s="2" t="s">
        <v>14</v>
      </c>
      <c r="B7" s="11">
        <v>435123458</v>
      </c>
      <c r="C7" s="11">
        <v>435.123458</v>
      </c>
      <c r="D7" s="11">
        <v>435.123458</v>
      </c>
      <c r="E7" s="11">
        <v>435.123458</v>
      </c>
      <c r="F7" s="11">
        <v>435.123458</v>
      </c>
      <c r="G7" s="11">
        <v>435.123458</v>
      </c>
      <c r="H7" s="11">
        <f>G7+25</f>
        <v>460.123458</v>
      </c>
      <c r="I7" s="12">
        <f>H7</f>
        <v>460.123458</v>
      </c>
      <c r="J7" s="11">
        <f>I7</f>
        <v>460.123458</v>
      </c>
      <c r="K7" s="11">
        <f>I7</f>
        <v>460.123458</v>
      </c>
    </row>
    <row r="8" spans="1:11" ht="15">
      <c r="A8" s="2" t="s">
        <v>15</v>
      </c>
      <c r="B8" s="13">
        <f>B2*B7*12/1000000</f>
        <v>93986.666928</v>
      </c>
      <c r="C8" s="13">
        <f>C2*C7*12</f>
        <v>101818.889172</v>
      </c>
      <c r="D8" s="13">
        <f>D2*D7*12</f>
        <v>120094.07440800001</v>
      </c>
      <c r="E8" s="13">
        <f>E2*E7*12</f>
        <v>135758.518896</v>
      </c>
      <c r="F8" s="13">
        <f>F2*F7*12</f>
        <v>140980.00039200002</v>
      </c>
      <c r="G8" s="13">
        <f>G7*I2*4</f>
        <v>49604.07421200001</v>
      </c>
      <c r="H8" s="13">
        <f>H7*I2*8</f>
        <v>104908.14842400001</v>
      </c>
      <c r="I8" s="13">
        <f>G8+H8</f>
        <v>154512.22263600002</v>
      </c>
      <c r="J8" s="13">
        <f>J2*J7*12</f>
        <v>165644.44488000002</v>
      </c>
      <c r="K8" s="13">
        <f>K2*K7*12</f>
        <v>182208.889368</v>
      </c>
    </row>
    <row r="9" spans="1:11" ht="15">
      <c r="A9" s="2" t="s">
        <v>11</v>
      </c>
      <c r="B9" s="6"/>
      <c r="C9" s="6">
        <f>C8/B8-1</f>
        <v>0.08333333333333326</v>
      </c>
      <c r="D9" s="6">
        <f aca="true" t="shared" si="0" ref="D9:K9">D8/C8-1</f>
        <v>0.17948717948717974</v>
      </c>
      <c r="E9" s="6">
        <f t="shared" si="0"/>
        <v>0.13043478260869557</v>
      </c>
      <c r="F9" s="6">
        <f t="shared" si="0"/>
        <v>0.03846153846153855</v>
      </c>
      <c r="G9" s="6">
        <f t="shared" si="0"/>
        <v>-0.6481481481481481</v>
      </c>
      <c r="H9" s="6">
        <f t="shared" si="0"/>
        <v>1.114909915980673</v>
      </c>
      <c r="I9" s="6">
        <f>I8/F8-1</f>
        <v>0.09598682228949618</v>
      </c>
      <c r="J9" s="6">
        <f t="shared" si="0"/>
        <v>0.07204751866281356</v>
      </c>
      <c r="K9" s="6">
        <f t="shared" si="0"/>
        <v>0.09999999999999987</v>
      </c>
    </row>
    <row r="10" spans="1:11" ht="15">
      <c r="A10" s="1"/>
      <c r="B10" s="9"/>
      <c r="C10" s="9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2" t="s">
        <v>16</v>
      </c>
      <c r="B11" s="13">
        <v>11560</v>
      </c>
      <c r="C11" s="13">
        <v>16540</v>
      </c>
      <c r="D11" s="13">
        <v>14600</v>
      </c>
      <c r="E11" s="13">
        <v>15100</v>
      </c>
      <c r="F11" s="13">
        <v>21000</v>
      </c>
      <c r="G11" s="14"/>
      <c r="H11" s="14"/>
      <c r="I11" s="13">
        <v>23500</v>
      </c>
      <c r="J11" s="13">
        <v>21660</v>
      </c>
      <c r="K11" s="13">
        <v>26840</v>
      </c>
    </row>
    <row r="12" spans="1:11" ht="15">
      <c r="A12" s="15" t="s">
        <v>17</v>
      </c>
      <c r="B12" s="16">
        <f>B2/B11*12</f>
        <v>0.018685121107266438</v>
      </c>
      <c r="C12" s="16">
        <f>C2/C11*12</f>
        <v>0.014147521160822251</v>
      </c>
      <c r="D12" s="16">
        <f>D2/D11*12</f>
        <v>0.018904109589041096</v>
      </c>
      <c r="E12" s="16">
        <f>E2/E11*12</f>
        <v>0.02066225165562914</v>
      </c>
      <c r="F12" s="16">
        <f>F2/F11*12</f>
        <v>0.015428571428571427</v>
      </c>
      <c r="G12" s="17"/>
      <c r="H12" s="17"/>
      <c r="I12" s="16">
        <f>I2*12/I11</f>
        <v>0.014553191489361702</v>
      </c>
      <c r="J12" s="16">
        <f>J2*12/J11</f>
        <v>0.01662049861495845</v>
      </c>
      <c r="K12" s="16">
        <f>K2*12/K11</f>
        <v>0.014754098360655738</v>
      </c>
    </row>
    <row r="13" spans="1:11" ht="15">
      <c r="A13" s="1"/>
      <c r="B13" s="9"/>
      <c r="C13" s="9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2" t="s">
        <v>18</v>
      </c>
      <c r="B14" s="13">
        <v>183320</v>
      </c>
      <c r="C14" s="13">
        <v>176535</v>
      </c>
      <c r="D14" s="13">
        <v>247313</v>
      </c>
      <c r="E14" s="13">
        <v>299051</v>
      </c>
      <c r="F14" s="13">
        <v>213274</v>
      </c>
      <c r="G14" s="13"/>
      <c r="H14" s="13"/>
      <c r="I14" s="18">
        <v>263239</v>
      </c>
      <c r="J14" s="18">
        <v>253511</v>
      </c>
      <c r="K14" s="18">
        <v>345507</v>
      </c>
    </row>
    <row r="15" spans="1:11" ht="15">
      <c r="A15" s="2" t="s">
        <v>19</v>
      </c>
      <c r="B15" s="19"/>
      <c r="C15" s="7">
        <f>C14/B14-1</f>
        <v>-0.03701178267510363</v>
      </c>
      <c r="D15" s="7">
        <f>D14/C14-1</f>
        <v>0.40092899425043194</v>
      </c>
      <c r="E15" s="7">
        <f>E14/D14-1</f>
        <v>0.2092004868324755</v>
      </c>
      <c r="F15" s="7">
        <f>F14/E14-1</f>
        <v>-0.2868306743665796</v>
      </c>
      <c r="G15" s="20"/>
      <c r="H15" s="20"/>
      <c r="I15" s="20">
        <f>I14/F14-1</f>
        <v>0.2342760955390717</v>
      </c>
      <c r="J15" s="7">
        <f>J14/I14-1</f>
        <v>-0.03695501046577443</v>
      </c>
      <c r="K15" s="7">
        <f>K14/J14-1</f>
        <v>0.36288760645494667</v>
      </c>
    </row>
    <row r="16" spans="1:11" ht="15">
      <c r="A16" s="2" t="s">
        <v>20</v>
      </c>
      <c r="B16" s="19">
        <f>B8/B14</f>
        <v>0.5126918335588043</v>
      </c>
      <c r="C16" s="7">
        <f>C8/C14</f>
        <v>0.5767631867448381</v>
      </c>
      <c r="D16" s="7">
        <f>D8/D14</f>
        <v>0.4855954778276921</v>
      </c>
      <c r="E16" s="7">
        <f>E8/E14</f>
        <v>0.4539644371562041</v>
      </c>
      <c r="F16" s="7">
        <f>F8/F14</f>
        <v>0.6610276001387887</v>
      </c>
      <c r="G16" s="7"/>
      <c r="H16" s="7"/>
      <c r="I16" s="7">
        <f>I8/I14</f>
        <v>0.5869655432363746</v>
      </c>
      <c r="J16" s="7">
        <f>J8/J14</f>
        <v>0.6534014101163265</v>
      </c>
      <c r="K16" s="7">
        <f>K8/K14</f>
        <v>0.5273667085413609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2" t="s">
        <v>21</v>
      </c>
      <c r="B18" s="13">
        <v>169411</v>
      </c>
      <c r="C18" s="13">
        <v>210697.197796</v>
      </c>
      <c r="D18" s="13">
        <v>244291.822291</v>
      </c>
      <c r="E18" s="13">
        <v>291006.496196</v>
      </c>
      <c r="F18" s="18">
        <v>225495.57716</v>
      </c>
      <c r="G18" s="18"/>
      <c r="H18" s="18"/>
      <c r="I18" s="18">
        <v>278402.71985054</v>
      </c>
      <c r="J18" s="18">
        <v>255982</v>
      </c>
      <c r="K18" s="18">
        <v>345484</v>
      </c>
    </row>
    <row r="19" spans="1:11" ht="15">
      <c r="A19" s="2" t="s">
        <v>22</v>
      </c>
      <c r="B19" s="19"/>
      <c r="C19" s="7">
        <f>C18/B18-1</f>
        <v>0.24370435093352838</v>
      </c>
      <c r="D19" s="7">
        <f>D18/C18-1</f>
        <v>0.15944504647625535</v>
      </c>
      <c r="E19" s="7">
        <f>E18/D18-1</f>
        <v>0.19122487796318288</v>
      </c>
      <c r="F19" s="7">
        <f>F18/E18-1</f>
        <v>-0.22511840763814706</v>
      </c>
      <c r="G19" s="7"/>
      <c r="H19" s="7"/>
      <c r="I19" s="7">
        <f>$I$20/F18-1</f>
        <v>-0.9999975387748858</v>
      </c>
      <c r="J19" s="7">
        <f>J18/I18-1</f>
        <v>-0.08053340808802623</v>
      </c>
      <c r="K19" s="7">
        <f>K18/J18-1</f>
        <v>0.34964177168707167</v>
      </c>
    </row>
    <row r="20" spans="1:11" ht="15">
      <c r="A20" s="2" t="s">
        <v>20</v>
      </c>
      <c r="B20" s="19">
        <f>B8/B18</f>
        <v>0.5547849131874554</v>
      </c>
      <c r="C20" s="7">
        <f>C8/C18</f>
        <v>0.48324747664932155</v>
      </c>
      <c r="D20" s="7">
        <f>D8/D18</f>
        <v>0.49160087833371746</v>
      </c>
      <c r="E20" s="7">
        <f>E8/E18</f>
        <v>0.4665137056066381</v>
      </c>
      <c r="F20" s="7">
        <f>F8/F18</f>
        <v>0.6252007341676946</v>
      </c>
      <c r="G20" s="7"/>
      <c r="H20" s="7"/>
      <c r="I20" s="7">
        <f>I8/I18</f>
        <v>0.5549953776275951</v>
      </c>
      <c r="J20" s="7">
        <f>J8/J18</f>
        <v>0.6470941116172232</v>
      </c>
      <c r="K20" s="7">
        <f>K8/K18</f>
        <v>0.527401817068229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iaajimenez</dc:creator>
  <cp:keywords/>
  <dc:description/>
  <cp:lastModifiedBy>Alejandro Jimenez Moreno</cp:lastModifiedBy>
  <dcterms:created xsi:type="dcterms:W3CDTF">2013-04-25T23:26:00Z</dcterms:created>
  <dcterms:modified xsi:type="dcterms:W3CDTF">2014-02-28T16:10:03Z</dcterms:modified>
  <cp:category/>
  <cp:version/>
  <cp:contentType/>
  <cp:contentStatus/>
</cp:coreProperties>
</file>